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10.72.11.14\home\Jobs' Files\EECA\2024_Indoor Combustion\5 Deliverables\"/>
    </mc:Choice>
  </mc:AlternateContent>
  <xr:revisionPtr revIDLastSave="0" documentId="8_{A8CE3929-C054-4516-913E-F7D25778742F}" xr6:coauthVersionLast="47" xr6:coauthVersionMax="47" xr10:uidLastSave="{00000000-0000-0000-0000-000000000000}"/>
  <bookViews>
    <workbookView xWindow="44880" yWindow="-5670" windowWidth="29040" windowHeight="15720" xr2:uid="{E9C47FD5-AED7-4CDC-AF95-E89FAD1F478B}"/>
  </bookViews>
  <sheets>
    <sheet name="Contents" sheetId="3" r:id="rId1"/>
    <sheet name="Scope" sheetId="5" r:id="rId2"/>
    <sheet name="Input" sheetId="2" r:id="rId3"/>
    <sheet name="Results" sheetId="15" r:id="rId4"/>
    <sheet name="Report tables" sheetId="16" r:id="rId5"/>
    <sheet name="ERFs" sheetId="7" r:id="rId6"/>
    <sheet name="Costs" sheetId="8" r:id="rId7"/>
    <sheet name="Annual incs" sheetId="9" r:id="rId8"/>
    <sheet name="HH comp &amp; Health" sheetId="12" r:id="rId9"/>
    <sheet name="NZ nat data" sheetId="18" r:id="rId10"/>
    <sheet name="Indoor impacts per HH" sheetId="11" r:id="rId11"/>
    <sheet name="Indoor impacts NZ" sheetId="19" r:id="rId12"/>
    <sheet name="Fuel use" sheetId="13" r:id="rId13"/>
    <sheet name="Damage costs" sheetId="14" r:id="rId14"/>
    <sheet name="Outdoor impacts per HH" sheetId="17" r:id="rId15"/>
    <sheet name="Outdoor impacts NZ" sheetId="20" r:id="rId16"/>
    <sheet name="Glossary" sheetId="6" r:id="rId17"/>
    <sheet name="References" sheetId="4" r:id="rId18"/>
  </sheets>
  <externalReferences>
    <externalReference r:id="rId19"/>
    <externalReference r:id="rId20"/>
    <externalReference r:id="rId21"/>
    <externalReference r:id="rId22"/>
    <externalReference r:id="rId23"/>
    <externalReference r:id="rId24"/>
    <externalReference r:id="rId25"/>
  </externalReferences>
  <definedNames>
    <definedName name="_Ref192772985" localSheetId="6">Costs!$B$34</definedName>
    <definedName name="_Ref195173554" localSheetId="6">Costs!$B$45</definedName>
    <definedName name="ceta">'[1]Euro V &amp; VI EF - HDVs &amp; Bus'!$K:$K</definedName>
    <definedName name="Chargable" localSheetId="17">#REF!</definedName>
    <definedName name="Chargable">#REF!</definedName>
    <definedName name="Chargeable" localSheetId="17">#REF!</definedName>
    <definedName name="Chargeable">#REF!</definedName>
    <definedName name="con_data">[2]Contracts!$A$3:$F$97</definedName>
    <definedName name="ContractValue" localSheetId="17">#REF!</definedName>
    <definedName name="ContractValue">#REF!</definedName>
    <definedName name="Costs" localSheetId="17">#REF!</definedName>
    <definedName name="Costs">#REF!</definedName>
    <definedName name="DHprop2.5">[3]EmissionsTable!$D$52</definedName>
    <definedName name="EmissionsTable">[3]EmissionsTable!$C$6:$Y$47</definedName>
    <definedName name="ErrorEFcoal">[3]EmissionsTable!$D$70</definedName>
    <definedName name="ErrorEFwood">[3]EmissionsTable!$D$69</definedName>
    <definedName name="ErrorFF">[3]EmissionsTable!$D$68</definedName>
    <definedName name="ErrorHH">[3]EmissionsTable!$D$67</definedName>
    <definedName name="HDV_BUS_Equations">'[4]HDV - BUS Equations'!$A$2:$B$17</definedName>
    <definedName name="Ind_PM10_Rural_2016" localSheetId="0">'[5]Industry Sites'!$H$4</definedName>
    <definedName name="Ind_PM10_Rural_2016" localSheetId="17">#REF!</definedName>
    <definedName name="Ind_PM10_Rural_2016">'[6]Industry Sites'!$H$4</definedName>
    <definedName name="Ind_PM10_Urban_2016" localSheetId="0">'[5]Industry Sites'!$H$3</definedName>
    <definedName name="Ind_PM10_Urban_2016" localSheetId="17">#REF!</definedName>
    <definedName name="Ind_PM10_Urban_2016">'[6]Industry Sites'!$H$3</definedName>
    <definedName name="Ind_PM2.5_Rural_2016" localSheetId="0">'[5]Industry Sites'!$I$4</definedName>
    <definedName name="Ind_PM2.5_Rural_2016" localSheetId="17">#REF!</definedName>
    <definedName name="Ind_PM2.5_Rural_2016">'[6]Industry Sites'!$I$4</definedName>
    <definedName name="Ind_PM2.5_Urban_2016" localSheetId="0">'[5]Industry Sites'!$I$3</definedName>
    <definedName name="Ind_PM2.5_Urban_2016" localSheetId="17">#REF!</definedName>
    <definedName name="Ind_PM2.5_Urban_2016">'[6]Industry Sites'!$I$3</definedName>
    <definedName name="Invoiced" localSheetId="17">#REF!</definedName>
    <definedName name="Invoiced">#REF!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41731.006724537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V2012CO">[3]MotorVehicles!$C$22</definedName>
    <definedName name="MV2012NO">[3]MotorVehicles!$E$22</definedName>
    <definedName name="MV2012PM">[3]MotorVehicles!$F$22</definedName>
    <definedName name="MV2012PM2">[3]MotorVehicles!$G$22</definedName>
    <definedName name="MVEFPM">[3]EmissionsTable!$P$58</definedName>
    <definedName name="MVEFPM90">[3]EmissionsTable!$P$59</definedName>
    <definedName name="OBEmissionsTable">[3]EmissionsTable!$Z$6:$AE$47</definedName>
    <definedName name="OBseasonalTable">[3]SeasonalProfiles!$Q$4:$AD$46</definedName>
    <definedName name="PCs_LDVs_Equations">'[4]PCs - LDVs Equations'!$A$2:$B$18</definedName>
    <definedName name="PM10_Ak_BotanyDowns_2016" localSheetId="0">'[5]PM10 Data'!$T$16</definedName>
    <definedName name="PM10_Ak_BotanyDowns_2016" localSheetId="17">#REF!</definedName>
    <definedName name="PM10_Ak_BotanyDowns_2016">'[6]PM10 Data'!$T$16</definedName>
    <definedName name="PM10_Ak_GlenEden_2016" localSheetId="0">'[5]PM10 Data'!$T$15</definedName>
    <definedName name="PM10_Ak_GlenEden_2016" localSheetId="17">#REF!</definedName>
    <definedName name="PM10_Ak_GlenEden_2016">'[6]PM10 Data'!$T$15</definedName>
    <definedName name="PM10_Ak_Henderson_2016" localSheetId="0">'[5]PM10 Data'!$T$13</definedName>
    <definedName name="PM10_Ak_Henderson_2016" localSheetId="17">#REF!</definedName>
    <definedName name="PM10_Ak_Henderson_2016">'[6]PM10 Data'!$T$13</definedName>
    <definedName name="PM10_Ak_KhyberPass_2016" localSheetId="0">'[5]PM10 Data'!$T$10</definedName>
    <definedName name="PM10_Ak_KhyberPass_2016" localSheetId="17">#REF!</definedName>
    <definedName name="PM10_Ak_KhyberPass_2016">'[6]PM10 Data'!$T$10</definedName>
    <definedName name="PM10_Ak_Pakuranga_2016" localSheetId="0">'[5]PM10 Data'!$T$17</definedName>
    <definedName name="PM10_Ak_Pakuranga_2016" localSheetId="17">#REF!</definedName>
    <definedName name="PM10_Ak_Pakuranga_2016">'[6]PM10 Data'!$T$17</definedName>
    <definedName name="PM10_Ak_Penrose_2016" localSheetId="0">'[5]PM10 Data'!$T$11</definedName>
    <definedName name="PM10_Ak_Penrose_2016" localSheetId="17">#REF!</definedName>
    <definedName name="PM10_Ak_Penrose_2016">'[6]PM10 Data'!$T$11</definedName>
    <definedName name="PM10_Ak_QueenSt_2016" localSheetId="0">'[5]PM10 Data'!$T$9</definedName>
    <definedName name="PM10_Ak_QueenSt_2016" localSheetId="17">#REF!</definedName>
    <definedName name="PM10_Ak_QueenSt_2016">'[6]PM10 Data'!$T$9</definedName>
    <definedName name="PM10_Ak_Takapuna_2016" localSheetId="0">'[5]PM10 Data'!$T$12</definedName>
    <definedName name="PM10_Ak_Takapuna_2016" localSheetId="17">#REF!</definedName>
    <definedName name="PM10_Ak_Takapuna_2016">'[6]PM10 Data'!$T$12</definedName>
    <definedName name="PM10_AK_UrbanAirshed_2016" localSheetId="0">'[5]PM Values'!$C$24</definedName>
    <definedName name="PM10_AK_UrbanAirshed_2016" localSheetId="17">#REF!</definedName>
    <definedName name="PM10_AK_UrbanAirshed_2016">'[6]PM Values'!$C$24</definedName>
    <definedName name="PM10_Ak_Waterfront_2016" localSheetId="0">'[5]PM10 Data'!$T$8</definedName>
    <definedName name="PM10_Ak_Waterfront_2016" localSheetId="17">#REF!</definedName>
    <definedName name="PM10_Ak_Waterfront_2016">'[6]PM10 Data'!$T$8</definedName>
    <definedName name="PM10_Ashburton_2016" localSheetId="0">'[5]PM10 Data'!$T$83</definedName>
    <definedName name="PM10_Ashburton_2016" localSheetId="17">#REF!</definedName>
    <definedName name="PM10_Ashburton_2016">'[6]PM10 Data'!$T$83</definedName>
    <definedName name="PM10_Awatoto_2016" localSheetId="0">'[5]PM10 Data'!$T$55</definedName>
    <definedName name="PM10_Awatoto_2016" localSheetId="17">#REF!</definedName>
    <definedName name="PM10_Awatoto_2016">'[6]PM10 Data'!$T$55</definedName>
    <definedName name="PM10_Beachlands_2016" localSheetId="0">'[5]PM10 Data'!$T$21</definedName>
    <definedName name="PM10_Beachlands_2016" localSheetId="17">#REF!</definedName>
    <definedName name="PM10_Beachlands_2016">'[6]PM10 Data'!$T$21</definedName>
    <definedName name="PM10_Blenheim_2016" localSheetId="0">'[5]PM10 Data'!$T$73</definedName>
    <definedName name="PM10_Blenheim_2016" localSheetId="17">#REF!</definedName>
    <definedName name="PM10_Blenheim_2016">'[6]PM10 Data'!$T$73</definedName>
    <definedName name="PM10_Bluff_2016">#REF!</definedName>
    <definedName name="PM10_Cambridge_2016" localSheetId="0">'[5]PM10 Data'!$T$37</definedName>
    <definedName name="PM10_Cambridge_2016" localSheetId="17">#REF!</definedName>
    <definedName name="PM10_Cambridge_2016">'[6]PM10 Data'!$T$37</definedName>
    <definedName name="PM10_Chc_Riccarton_2016">#REF!</definedName>
    <definedName name="PM10_Chc_StAlbans_2016" localSheetId="0">'[5]PM10 Data'!$T$79</definedName>
    <definedName name="PM10_Chc_StAlbans_2016" localSheetId="17">#REF!</definedName>
    <definedName name="PM10_Chc_StAlbans_2016">'[6]PM10 Data'!$T$79</definedName>
    <definedName name="PM10_Chc_Woolston_2006">#REF!</definedName>
    <definedName name="PM10_Chc_Woolston_2016">#REF!</definedName>
    <definedName name="PM10_Dunedin_2016" localSheetId="0">'[5]PM10 Data'!$T$95</definedName>
    <definedName name="PM10_Dunedin_2016" localSheetId="17">#REF!</definedName>
    <definedName name="PM10_Dunedin_2016">'[6]PM10 Data'!$T$95</definedName>
    <definedName name="PM10_Edendale_2016" localSheetId="0">'[5]PM10 Data'!$T$102</definedName>
    <definedName name="PM10_Edendale_2016" localSheetId="17">#REF!</definedName>
    <definedName name="PM10_Edendale_2016">'[6]PM10 Data'!$T$102</definedName>
    <definedName name="PM10_Geraldine_2016" localSheetId="0">'[5]PM10 Data'!$T$86</definedName>
    <definedName name="PM10_Geraldine_2016" localSheetId="17">#REF!</definedName>
    <definedName name="PM10_Geraldine_2016">'[6]PM10 Data'!$T$86</definedName>
    <definedName name="PM10_Gisborne_2016" localSheetId="0">'[5]PM10 Data'!$T$51</definedName>
    <definedName name="PM10_Gisborne_2016" localSheetId="17">#REF!</definedName>
    <definedName name="PM10_Gisborne_2016">'[6]PM10 Data'!$T$51</definedName>
    <definedName name="PM10_Gore_2016" localSheetId="0">'[5]PM10 Data'!$T$99</definedName>
    <definedName name="PM10_Gore_2016" localSheetId="17">#REF!</definedName>
    <definedName name="PM10_Gore_2016">'[6]PM10 Data'!$T$99</definedName>
    <definedName name="PM10_Ham_Bloodbank_2016">#REF!</definedName>
    <definedName name="PM10_Ham_Claudelands_2016">#REF!</definedName>
    <definedName name="PM10_HamiltonAvg_2016" localSheetId="0">'[5]PM Values'!$C$42</definedName>
    <definedName name="PM10_HamiltonAvg_2016" localSheetId="17">#REF!</definedName>
    <definedName name="PM10_HamiltonAvg_2016">'[6]PM Values'!$C$42</definedName>
    <definedName name="PM10_Hastings_2016" localSheetId="0">'[5]PM10 Data'!$T$54</definedName>
    <definedName name="PM10_Hastings_2016" localSheetId="17">#REF!</definedName>
    <definedName name="PM10_Hastings_2016">'[6]PM10 Data'!$T$54</definedName>
    <definedName name="PM10_Helensville_2016" localSheetId="0">'[5]PM10 Data'!$T$25</definedName>
    <definedName name="PM10_Helensville_2016" localSheetId="17">#REF!</definedName>
    <definedName name="PM10_Helensville_2016">'[6]PM10 Data'!$T$25</definedName>
    <definedName name="PM10_Huntly_2016" localSheetId="0">'[5]PM10 Data'!$T$28</definedName>
    <definedName name="PM10_Huntly_2016" localSheetId="17">#REF!</definedName>
    <definedName name="PM10_Huntly_2016">'[6]PM10 Data'!$T$28</definedName>
    <definedName name="PM10_Invercargill_2016" localSheetId="0">'[5]PM10 Data'!$T$100</definedName>
    <definedName name="PM10_Invercargill_2016" localSheetId="17">#REF!</definedName>
    <definedName name="PM10_Invercargill_2016">'[6]PM10 Data'!$T$100</definedName>
    <definedName name="PM10_Kaiapoi_2016" localSheetId="0">'[5]PM10 Data'!$T$77</definedName>
    <definedName name="PM10_Kaiapoi_2016" localSheetId="17">#REF!</definedName>
    <definedName name="PM10_Kaiapoi_2016">'[6]PM10 Data'!$T$77</definedName>
    <definedName name="PM10_Kaitaia_2016" localSheetId="0">'[5]PM10 Data'!$T$5</definedName>
    <definedName name="PM10_Kaitaia_2016" localSheetId="17">#REF!</definedName>
    <definedName name="PM10_Kaitaia_2016">'[6]PM10 Data'!$T$5</definedName>
    <definedName name="PM10_LowerHutt_2016" localSheetId="0">'[5]PM10 Data'!$T$64</definedName>
    <definedName name="PM10_LowerHutt_2016" localSheetId="17">#REF!</definedName>
    <definedName name="PM10_LowerHutt_2016">'[6]PM10 Data'!$T$64</definedName>
    <definedName name="PM10_Lyttelton_2016">#REF!</definedName>
    <definedName name="PM10_MarsdenPt_2016" localSheetId="0">'[5]PM10 Data'!$T$7</definedName>
    <definedName name="PM10_MarsdenPt_2016" localSheetId="17">#REF!</definedName>
    <definedName name="PM10_MarsdenPt_2016">'[6]PM10 Data'!$T$7</definedName>
    <definedName name="PM10_MastertonE_2016" localSheetId="0">'[5]PM10 Data'!$T$61</definedName>
    <definedName name="PM10_MastertonE_2016" localSheetId="17">#REF!</definedName>
    <definedName name="PM10_MastertonE_2016">'[6]PM10 Data'!$T$61</definedName>
    <definedName name="PM10_MastertonW_2016" localSheetId="0">'[5]PM10 Data'!$T$60</definedName>
    <definedName name="PM10_MastertonW_2016" localSheetId="17">#REF!</definedName>
    <definedName name="PM10_MastertonW_2016">'[6]PM10 Data'!$T$60</definedName>
    <definedName name="PM10_Morrinsville_2016" localSheetId="0">'[5]PM10 Data'!$T$30</definedName>
    <definedName name="PM10_Morrinsville_2016" localSheetId="17">#REF!</definedName>
    <definedName name="PM10_Morrinsville_2016">'[6]PM10 Data'!$T$30</definedName>
    <definedName name="PM10_MtMaunganui_2016" localSheetId="0">'[5]PM10 Data'!$T$46</definedName>
    <definedName name="PM10_MtMaunganui_2016" localSheetId="17">#REF!</definedName>
    <definedName name="PM10_MtMaunganui_2016">'[6]PM10 Data'!$T$46</definedName>
    <definedName name="PM10_NelsonA_2016" localSheetId="0">'[5]PM10 Data'!$T$69</definedName>
    <definedName name="PM10_NelsonA_2016" localSheetId="17">#REF!</definedName>
    <definedName name="PM10_NelsonA_2016">'[6]PM10 Data'!$T$69</definedName>
    <definedName name="PM10_NelsonB1_2016" localSheetId="0">'[5]PM10 Data'!$T$70</definedName>
    <definedName name="PM10_NelsonB1_2016" localSheetId="17">#REF!</definedName>
    <definedName name="PM10_NelsonB1_2016">'[6]PM10 Data'!$T$70</definedName>
    <definedName name="PM10_NelsonB2_2016" localSheetId="0">'[5]PM10 Data'!$T$71</definedName>
    <definedName name="PM10_NelsonB2_2016" localSheetId="17">#REF!</definedName>
    <definedName name="PM10_NelsonB2_2016">'[6]PM10 Data'!$T$71</definedName>
    <definedName name="PM10_NelsonC_2016" localSheetId="0">'[5]PM10 Data'!$T$72</definedName>
    <definedName name="PM10_NelsonC_2016" localSheetId="17">#REF!</definedName>
    <definedName name="PM10_NelsonC_2016">'[6]PM10 Data'!$T$72</definedName>
    <definedName name="PM10_Npe_MarewaPark_2016" localSheetId="0">'[5]PM10 Data'!$T$52</definedName>
    <definedName name="PM10_Npe_MarewaPark_2016" localSheetId="17">#REF!</definedName>
    <definedName name="PM10_Npe_MarewaPark_2016">'[6]PM10 Data'!$T$52</definedName>
    <definedName name="PM10_O1_Alexandra_2016">#REF!</definedName>
    <definedName name="PM10_O1_Arrowtown_2016">#REF!</definedName>
    <definedName name="PM10_O2_Mosgiel_2016">#REF!</definedName>
    <definedName name="PM10_O3_Balclutha_2016">#REF!</definedName>
    <definedName name="PM10_O3_Oamaru_2016">#REF!</definedName>
    <definedName name="PM10_O4_Lawrence_2016" localSheetId="0">'[5]PM10 Data'!$T$98</definedName>
    <definedName name="PM10_O4_Lawrence_2016" localSheetId="17">#REF!</definedName>
    <definedName name="PM10_O4_Lawrence_2016">'[6]PM10 Data'!$T$98</definedName>
    <definedName name="PM10_Patumahoe_2016" localSheetId="0">'[5]PM10 Data'!$T$26</definedName>
    <definedName name="PM10_Patumahoe_2016" localSheetId="17">#REF!</definedName>
    <definedName name="PM10_Patumahoe_2016">'[6]PM10 Data'!$T$26</definedName>
    <definedName name="PM10_Picton_2016">#REF!</definedName>
    <definedName name="PM10_Pongakawa_2016" localSheetId="0">'[5]PM10 Data'!$T$50</definedName>
    <definedName name="PM10_Pongakawa_2016" localSheetId="17">#REF!</definedName>
    <definedName name="PM10_Pongakawa_2016">'[6]PM10 Data'!$T$50</definedName>
    <definedName name="PM10_Porirua_2016" localSheetId="0">'[5]PM10 Data'!$T$67</definedName>
    <definedName name="PM10_Porirua_2016" localSheetId="17">#REF!</definedName>
    <definedName name="PM10_Porirua_2016">'[6]PM10 Data'!$T$67</definedName>
    <definedName name="PM10_Putaruru_2016" localSheetId="0">'[5]PM10 Data'!$T$39</definedName>
    <definedName name="PM10_Putaruru_2016" localSheetId="17">#REF!</definedName>
    <definedName name="PM10_Putaruru_2016">'[6]PM10 Data'!$T$39</definedName>
    <definedName name="PM10_Rangiora_2016" localSheetId="0">'[5]PM10 Data'!$T$76</definedName>
    <definedName name="PM10_Rangiora_2016" localSheetId="17">#REF!</definedName>
    <definedName name="PM10_Rangiora_2016">'[6]PM10 Data'!$T$76</definedName>
    <definedName name="PM10_Reefton_2016" localSheetId="0">'[5]PM10 Data'!$T$75</definedName>
    <definedName name="PM10_Reefton_2016" localSheetId="17">#REF!</definedName>
    <definedName name="PM10_Reefton_2016">'[6]PM10 Data'!$T$75</definedName>
    <definedName name="PM10_Richmond_2016" localSheetId="0">'[5]PM10 Data'!$T$68</definedName>
    <definedName name="PM10_Richmond_2016" localSheetId="17">#REF!</definedName>
    <definedName name="PM10_Richmond_2016">'[6]PM10 Data'!$T$68</definedName>
    <definedName name="PM10_Rot_EdmondRd_2016" localSheetId="0">'[5]PM10 Data'!$T$44</definedName>
    <definedName name="PM10_Rot_EdmondRd_2016" localSheetId="17">#REF!</definedName>
    <definedName name="PM10_Rot_EdmondRd_2016">'[6]PM10 Data'!$T$44</definedName>
    <definedName name="PM10_Rot_Ngapuna_2016">#REF!</definedName>
    <definedName name="PM10_Rural_Other_2016" localSheetId="0">'[5]PM Values'!$C$5</definedName>
    <definedName name="PM10_Rural_Other_2016" localSheetId="17">#REF!</definedName>
    <definedName name="PM10_Rural_Other_2016">'[6]PM Values'!$C$5</definedName>
    <definedName name="PM10_RuralCentres_2016" localSheetId="0">'[5]PM Values'!$C$4</definedName>
    <definedName name="PM10_RuralCentres_2016" localSheetId="17">#REF!</definedName>
    <definedName name="PM10_RuralCentres_2016">'[6]PM Values'!$C$4</definedName>
    <definedName name="PM10_Taihape_2016" localSheetId="0">'[5]PM10 Data'!$T$58</definedName>
    <definedName name="PM10_Taihape_2016" localSheetId="17">#REF!</definedName>
    <definedName name="PM10_Taihape_2016">'[6]PM10 Data'!$T$58</definedName>
    <definedName name="PM10_Taumarunui_2016" localSheetId="0">'[5]PM10 Data'!$T$59</definedName>
    <definedName name="PM10_Taumarunui_2016" localSheetId="17">#REF!</definedName>
    <definedName name="PM10_Taumarunui_2016">'[6]PM10 Data'!$T$59</definedName>
    <definedName name="PM10_Taupo_2016" localSheetId="0">'[5]PM10 Data'!$T$42</definedName>
    <definedName name="PM10_Taupo_2016" localSheetId="17">#REF!</definedName>
    <definedName name="PM10_Taupo_2016">'[6]PM10 Data'!$T$42</definedName>
    <definedName name="PM10_TeAnau_2016">#REF!</definedName>
    <definedName name="PM10_TeAwamutu_2016" localSheetId="0">'[5]PM10 Data'!$T$36</definedName>
    <definedName name="PM10_TeAwamutu_2016" localSheetId="17">#REF!</definedName>
    <definedName name="PM10_TeAwamutu_2016">'[6]PM10 Data'!$T$36</definedName>
    <definedName name="PM10_TeKuiti_2016" localSheetId="0">'[5]PM10 Data'!$T$40</definedName>
    <definedName name="PM10_TeKuiti_2016" localSheetId="17">#REF!</definedName>
    <definedName name="PM10_TeKuiti_2016">'[6]PM10 Data'!$T$40</definedName>
    <definedName name="PM10_Thames_2016" localSheetId="0">'[5]PM10 Data'!$T$31</definedName>
    <definedName name="PM10_Thames_2016" localSheetId="17">#REF!</definedName>
    <definedName name="PM10_Thames_2016">'[6]PM10 Data'!$T$31</definedName>
    <definedName name="PM10_Timaru_2016" localSheetId="0">'[5]PM10 Data'!$T$84</definedName>
    <definedName name="PM10_Timaru_2016" localSheetId="17">#REF!</definedName>
    <definedName name="PM10_Timaru_2016">'[6]PM10 Data'!$T$84</definedName>
    <definedName name="PM10_Tokoroa_2016" localSheetId="0">'[5]PM10 Data'!$T$38</definedName>
    <definedName name="PM10_Tokoroa_2016" localSheetId="17">#REF!</definedName>
    <definedName name="PM10_Tokoroa_2016">'[6]PM10 Data'!$T$38</definedName>
    <definedName name="PM10_Trg_MorlandFoxPark_2016">#REF!</definedName>
    <definedName name="PM10_Trg_Otumoetai_2016" localSheetId="0">'[5]PM10 Data'!$T$48</definedName>
    <definedName name="PM10_Trg_Otumoetai_2016" localSheetId="17">#REF!</definedName>
    <definedName name="PM10_Trg_Otumoetai_2016">'[6]PM10 Data'!$T$48</definedName>
    <definedName name="PM10_Turangi_2016" localSheetId="0">'[5]PM10 Data'!$T$41</definedName>
    <definedName name="PM10_Turangi_2016" localSheetId="17">#REF!</definedName>
    <definedName name="PM10_Turangi_2016">'[6]PM10 Data'!$T$41</definedName>
    <definedName name="PM10_UpperHutt_2016" localSheetId="0">'[5]PM10 Data'!$T$63</definedName>
    <definedName name="PM10_UpperHutt_2016" localSheetId="17">#REF!</definedName>
    <definedName name="PM10_UpperHutt_2016">'[6]PM10 Data'!$T$63</definedName>
    <definedName name="PM10_WaihekeIs_2016" localSheetId="0">'[5]PM10 Data'!$T$24</definedName>
    <definedName name="PM10_WaihekeIs_2016" localSheetId="17">#REF!</definedName>
    <definedName name="PM10_WaihekeIs_2016">'[6]PM10 Data'!$T$24</definedName>
    <definedName name="PM10_Waihi_2016" localSheetId="0">'[5]PM10 Data'!$T$43</definedName>
    <definedName name="PM10_Waihi_2016" localSheetId="17">#REF!</definedName>
    <definedName name="PM10_Waihi_2016">'[6]PM10 Data'!$T$43</definedName>
    <definedName name="PM10_Waimate_2016" localSheetId="0">'[5]PM10 Data'!$T$87</definedName>
    <definedName name="PM10_Waimate_2016" localSheetId="17">#REF!</definedName>
    <definedName name="PM10_Waimate_2016">'[6]PM10 Data'!$T$87</definedName>
    <definedName name="PM10_Wainuiomata_2016" localSheetId="0">'[5]PM10 Data'!$T$62</definedName>
    <definedName name="PM10_Wainuiomata_2016" localSheetId="17">#REF!</definedName>
    <definedName name="PM10_Wainuiomata_2016">'[6]PM10 Data'!$T$62</definedName>
    <definedName name="PM10_Wallacetown_2016">#REF!</definedName>
    <definedName name="PM10_Washdyke_2016">#REF!</definedName>
    <definedName name="PM10_Wellington_2016" localSheetId="0">'[5]PM10 Data'!$T$65</definedName>
    <definedName name="PM10_Wellington_2016" localSheetId="17">#REF!</definedName>
    <definedName name="PM10_Wellington_2016">'[6]PM10 Data'!$T$65</definedName>
    <definedName name="PM10_WestMelton_2016">#REF!</definedName>
    <definedName name="PM10_Whakatane_2016">#REF!</definedName>
    <definedName name="PM10_Whangaparaoa_2016" localSheetId="0">'[5]PM10 Data'!$T$27</definedName>
    <definedName name="PM10_Whangaparaoa_2016" localSheetId="17">#REF!</definedName>
    <definedName name="PM10_Whangaparaoa_2016">'[6]PM10 Data'!$T$27</definedName>
    <definedName name="PM10_Whangarei_2016" localSheetId="0">'[5]PM10 Data'!$T$6</definedName>
    <definedName name="PM10_Whangarei_2016" localSheetId="17">#REF!</definedName>
    <definedName name="PM10_Whangarei_2016">'[6]PM10 Data'!$T$6</definedName>
    <definedName name="PM10_Winton_2016">#REF!</definedName>
    <definedName name="PM2.5_Ak_Penrose_2016">#REF!</definedName>
    <definedName name="PM2.5_Ak_QueenSt_2016" localSheetId="0">'[5]PM2.5 Data'!$T$9</definedName>
    <definedName name="PM2.5_Ak_QueenSt_2016" localSheetId="17">#REF!</definedName>
    <definedName name="PM2.5_Ak_QueenSt_2016">'[6]PM2.5 Data'!$T$9</definedName>
    <definedName name="PM2.5_Ak_Takapuna_2016">#REF!</definedName>
    <definedName name="PM2.5_Ashburton_2016" localSheetId="0">'[5]PM2.5 Data'!$T$83</definedName>
    <definedName name="PM2.5_Ashburton_2016" localSheetId="17">#REF!</definedName>
    <definedName name="PM2.5_Ashburton_2016">'[6]PM2.5 Data'!$T$83</definedName>
    <definedName name="PM2.5_Awatoto_2016" localSheetId="0">'[5]PM2.5 Data'!$T$55</definedName>
    <definedName name="PM2.5_Awatoto_2016" localSheetId="17">#REF!</definedName>
    <definedName name="PM2.5_Awatoto_2016">'[6]PM2.5 Data'!$T$55</definedName>
    <definedName name="PM2.5_Blenheim_2016" localSheetId="0">'[5]PM2.5 Data'!$T$73</definedName>
    <definedName name="PM2.5_Blenheim_2016" localSheetId="17">#REF!</definedName>
    <definedName name="PM2.5_Blenheim_2016">'[6]PM2.5 Data'!$T$73</definedName>
    <definedName name="PM2.5_Chc_Riccarton_2016">#REF!</definedName>
    <definedName name="PM2.5_Chc_StAlbans_2016" localSheetId="0">'[5]PM2.5 Data'!$T$79</definedName>
    <definedName name="PM2.5_Chc_StAlbans_2016" localSheetId="17">#REF!</definedName>
    <definedName name="PM2.5_Chc_StAlbans_2016">'[6]PM2.5 Data'!$T$79</definedName>
    <definedName name="PM2.5_Chc_Woolston_2016">#REF!</definedName>
    <definedName name="PM2.5_Geraldine_2016" localSheetId="0">'[5]PM2.5 Data'!$T$86</definedName>
    <definedName name="PM2.5_Geraldine_2016" localSheetId="17">#REF!</definedName>
    <definedName name="PM2.5_Geraldine_2016">'[6]PM2.5 Data'!$T$86</definedName>
    <definedName name="PM2.5_Hastings_2016" localSheetId="0">'[5]PM2.5 Data'!$T$54</definedName>
    <definedName name="PM2.5_Hastings_2016" localSheetId="17">#REF!</definedName>
    <definedName name="PM2.5_Hastings_2016">'[6]PM2.5 Data'!$T$54</definedName>
    <definedName name="PM2.5_Kaiapoi_2016" localSheetId="0">'[5]PM2.5 Data'!$T$77</definedName>
    <definedName name="PM2.5_Kaiapoi_2016" localSheetId="17">#REF!</definedName>
    <definedName name="PM2.5_Kaiapoi_2016">'[6]PM2.5 Data'!$T$77</definedName>
    <definedName name="PM2.5_Lyttelton_2016">#REF!</definedName>
    <definedName name="PM2.5_MastertonE_2016" localSheetId="0">'[5]PM2.5 Data'!$T$61</definedName>
    <definedName name="PM2.5_MastertonE_2016" localSheetId="17">#REF!</definedName>
    <definedName name="PM2.5_MastertonE_2016">'[6]PM2.5 Data'!$T$61</definedName>
    <definedName name="PM2.5_MastertonW_2016" localSheetId="0">'[5]PM2.5 Data'!$T$60</definedName>
    <definedName name="PM2.5_MastertonW_2016" localSheetId="17">#REF!</definedName>
    <definedName name="PM2.5_MastertonW_2016">'[6]PM2.5 Data'!$T$60</definedName>
    <definedName name="PM2.5_NelsonA_2016" localSheetId="0">'[5]PM2.5 Data'!$T$69</definedName>
    <definedName name="PM2.5_NelsonA_2016" localSheetId="17">#REF!</definedName>
    <definedName name="PM2.5_NelsonA_2016">'[6]PM2.5 Data'!$T$69</definedName>
    <definedName name="PM2.5_Npe_MarewaPark_2016" localSheetId="0">'[5]PM2.5 Data'!$T$52</definedName>
    <definedName name="PM2.5_Npe_MarewaPark_2016" localSheetId="17">#REF!</definedName>
    <definedName name="PM2.5_Npe_MarewaPark_2016">'[6]PM2.5 Data'!$T$52</definedName>
    <definedName name="PM2.5_Patumahoe_2016" localSheetId="0">'[5]PM2.5 Data'!$T$26</definedName>
    <definedName name="PM2.5_Patumahoe_2016" localSheetId="17">#REF!</definedName>
    <definedName name="PM2.5_Patumahoe_2016">'[6]PM2.5 Data'!$T$26</definedName>
    <definedName name="PM2.5_Rangiora_2016" localSheetId="0">'[5]PM2.5 Data'!$T$76</definedName>
    <definedName name="PM2.5_Rangiora_2016" localSheetId="17">#REF!</definedName>
    <definedName name="PM2.5_Rangiora_2016">'[6]PM2.5 Data'!$T$76</definedName>
    <definedName name="PM2.5_Rot_EdmondRd_2016" localSheetId="0">'[5]PM2.5 Data'!$T$44</definedName>
    <definedName name="PM2.5_Rot_EdmondRd_2016" localSheetId="17">#REF!</definedName>
    <definedName name="PM2.5_Rot_EdmondRd_2016">'[6]PM2.5 Data'!$T$44</definedName>
    <definedName name="PM2.5_Rural_Other_2016" localSheetId="0">'[5]PM Values'!$F$5</definedName>
    <definedName name="PM2.5_Rural_Other_2016" localSheetId="17">#REF!</definedName>
    <definedName name="PM2.5_Rural_Other_2016">'[6]PM Values'!$F$5</definedName>
    <definedName name="PM2.5_RuralCentres_2016" localSheetId="0">'[5]PM Values'!$F$4</definedName>
    <definedName name="PM2.5_RuralCentres_2016" localSheetId="17">#REF!</definedName>
    <definedName name="PM2.5_RuralCentres_2016">'[6]PM Values'!$F$4</definedName>
    <definedName name="PM2.5_Timaru_AnzacSq_2016" localSheetId="0">'[5]PM2.5 Data'!$T$84</definedName>
    <definedName name="PM2.5_Timaru_AnzacSq_2016" localSheetId="17">#REF!</definedName>
    <definedName name="PM2.5_Timaru_AnzacSq_2016">'[6]PM2.5 Data'!$T$84</definedName>
    <definedName name="PM2.5_Tokoroa_2016" localSheetId="0">'[5]PM2.5 Data'!$T$38</definedName>
    <definedName name="PM2.5_Tokoroa_2016" localSheetId="17">#REF!</definedName>
    <definedName name="PM2.5_Tokoroa_2016">'[6]PM2.5 Data'!$T$38</definedName>
    <definedName name="PM2.5_Waimate_2016" localSheetId="0">'[5]PM2.5 Data'!$T$87</definedName>
    <definedName name="PM2.5_Waimate_2016" localSheetId="17">#REF!</definedName>
    <definedName name="PM2.5_Waimate_2016">'[6]PM2.5 Data'!$T$87</definedName>
    <definedName name="PM2.5_Wainuiomata_2016" localSheetId="0">'[5]PM2.5 Data'!$T$63</definedName>
    <definedName name="PM2.5_Wainuiomata_2016" localSheetId="17">#REF!</definedName>
    <definedName name="PM2.5_Wainuiomata_2016">'[6]PM2.5 Data'!$T$63</definedName>
    <definedName name="PM2.5_Washdyke_2016">#REF!</definedName>
    <definedName name="PM2.5_Wellington_2016" localSheetId="0">'[5]PM2.5 Data'!$T$64</definedName>
    <definedName name="PM2.5_Wellington_2016" localSheetId="17">#REF!</definedName>
    <definedName name="PM2.5_Wellington_2016">'[6]PM2.5 Data'!$T$64</definedName>
    <definedName name="PM2.5_Whangarei_2016" localSheetId="0">'[5]PM2.5 Data'!$T$6</definedName>
    <definedName name="PM2.5_Whangarei_2016" localSheetId="17">#REF!</definedName>
    <definedName name="PM2.5_Whangarei_2016">'[6]PM2.5 Data'!$T$6</definedName>
    <definedName name="_xlnm.Print_Area" localSheetId="7">'Annual incs'!$A$1:$P$111</definedName>
    <definedName name="_xlnm.Print_Area" localSheetId="0">Contents!$A$1:$F$77</definedName>
    <definedName name="_xlnm.Print_Area" localSheetId="10">'Indoor impacts per HH'!$A$1:$P$80</definedName>
    <definedName name="_xlnm.Print_Area" localSheetId="15">'Outdoor impacts NZ'!$A$1:$I$78</definedName>
    <definedName name="_xlnm.Print_Area" localSheetId="14">'Outdoor impacts per HH'!$A$1:$G$78</definedName>
    <definedName name="_xlnm.Print_Area" localSheetId="17">References!$A$1:$B$110</definedName>
    <definedName name="_xlnm.Print_Area" localSheetId="4">'Report tables'!$A$1:$H$94</definedName>
    <definedName name="Ratio_Ak_KhyberPass" localSheetId="0">'[5]PM2.5 Data'!$AB$10</definedName>
    <definedName name="Ratio_Ak_KhyberPass" localSheetId="17">#REF!</definedName>
    <definedName name="Ratio_Ak_KhyberPass">'[6]PM2.5 Data'!$AB$10</definedName>
    <definedName name="Ratio_Ak_Kingsland">#REF!</definedName>
    <definedName name="Ratio_Ak_Penrose">#REF!</definedName>
    <definedName name="Ratio_Ak_QueenSt">#REF!</definedName>
    <definedName name="Ratio_Ak_Small_Towns" localSheetId="0">'[5]PM Ratios'!$G$12</definedName>
    <definedName name="Ratio_Ak_Small_Towns" localSheetId="17">#REF!</definedName>
    <definedName name="Ratio_Ak_Small_Towns">'[6]PM Ratios'!$G$12</definedName>
    <definedName name="Ratio_Ak_Takapuna">#REF!</definedName>
    <definedName name="Ratio_Ak_Urban" localSheetId="0">'[5]PM Ratios'!$G$11</definedName>
    <definedName name="Ratio_Ak_Urban" localSheetId="17">#REF!</definedName>
    <definedName name="Ratio_Ak_Urban">'[6]PM Ratios'!$G$11</definedName>
    <definedName name="Ratio_Ak_Waterfront" localSheetId="0">'[5]PM2.5 Data'!$AB$8</definedName>
    <definedName name="Ratio_Ak_Waterfront" localSheetId="17">#REF!</definedName>
    <definedName name="Ratio_Ak_Waterfront">'[6]PM2.5 Data'!$AB$8</definedName>
    <definedName name="Ratio_Areas_4_5">#REF!</definedName>
    <definedName name="Ratio_Ashburton">#REF!</definedName>
    <definedName name="Ratio_Awatoto">#REF!</definedName>
    <definedName name="Ratio_Beachlands" localSheetId="0">'[5]PM2.5 Data'!$AB$21</definedName>
    <definedName name="Ratio_Beachlands" localSheetId="17">#REF!</definedName>
    <definedName name="Ratio_Beachlands">'[6]PM2.5 Data'!$AB$21</definedName>
    <definedName name="Ratio_Blenheim">#REF!</definedName>
    <definedName name="Ratio_Chc_Riccarton">#REF!</definedName>
    <definedName name="Ratio_Chc_StAlbans">#REF!</definedName>
    <definedName name="Ratio_Chc_Woolston">#REF!</definedName>
    <definedName name="Ratio_Geraldine">#REF!</definedName>
    <definedName name="Ratio_Hastings">#REF!</definedName>
    <definedName name="Ratio_Helensville" localSheetId="0">'[5]PM2.5 Data'!$AB$25</definedName>
    <definedName name="Ratio_Helensville" localSheetId="17">#REF!</definedName>
    <definedName name="Ratio_Helensville">'[6]PM2.5 Data'!$AB$25</definedName>
    <definedName name="Ratio_Industry" localSheetId="0">'[5]PM Ratios'!$G$10</definedName>
    <definedName name="Ratio_Industry" localSheetId="17">#REF!</definedName>
    <definedName name="Ratio_Industry">'[6]PM Ratios'!$G$10</definedName>
    <definedName name="Ratio_Kaiapoi">#REF!</definedName>
    <definedName name="Ratio_Lyttelton">#REF!</definedName>
    <definedName name="Ratio_Masterton">#REF!</definedName>
    <definedName name="Ratio_Napier">#REF!</definedName>
    <definedName name="Ratio_NelsonA">#REF!</definedName>
    <definedName name="Ratio_Patumahoe">#REF!</definedName>
    <definedName name="Ratio_Pukekohe" localSheetId="0">'[5]PM2.5 Data'!$AB$20</definedName>
    <definedName name="Ratio_Pukekohe" localSheetId="17">#REF!</definedName>
    <definedName name="Ratio_Pukekohe">'[6]PM2.5 Data'!$AB$20</definedName>
    <definedName name="Ratio_Rangiora">#REF!</definedName>
    <definedName name="Ratio_Rotorua">#REF!</definedName>
    <definedName name="Ratio_Timaru">#REF!</definedName>
    <definedName name="Ratio_Tokoroa">#REF!</definedName>
    <definedName name="Ratio_WaihekeIs" localSheetId="0">'[5]PM2.5 Data'!$AB$24</definedName>
    <definedName name="Ratio_WaihekeIs" localSheetId="17">#REF!</definedName>
    <definedName name="Ratio_WaihekeIs">'[6]PM2.5 Data'!$AB$24</definedName>
    <definedName name="Ratio_Waimate">#REF!</definedName>
    <definedName name="Ratio_Wainuiomata" localSheetId="0">'[5]PM2.5 Data'!$AB$63</definedName>
    <definedName name="Ratio_Wainuiomata" localSheetId="17">#REF!</definedName>
    <definedName name="Ratio_Wainuiomata">'[6]PM2.5 Data'!$AB$63</definedName>
    <definedName name="Ratio_Waiuku" localSheetId="0">'[5]PM2.5 Data'!$AB$23</definedName>
    <definedName name="Ratio_Waiuku" localSheetId="17">#REF!</definedName>
    <definedName name="Ratio_Waiuku">'[6]PM2.5 Data'!$AB$23</definedName>
    <definedName name="Ratio_Washdyke">#REF!</definedName>
    <definedName name="Ratio_Wellington">#REF!</definedName>
    <definedName name="Ratio_Whangaparaoa">#REF!</definedName>
    <definedName name="Ratio_Whangarei" localSheetId="0">'[5]PM2.5 Data'!$AB$6</definedName>
    <definedName name="Ratio_Whangarei" localSheetId="17">#REF!</definedName>
    <definedName name="Ratio_Whangarei">'[6]PM2.5 Data'!$AB$6</definedName>
    <definedName name="RGDP">'[7]Regional GDP scaled'!$A$43:$EO$76</definedName>
    <definedName name="Sales" localSheetId="17">#REF!</definedName>
    <definedName name="Sales">#REF!</definedName>
    <definedName name="SeasonalTable">[3]SeasonalProfiles!$B$5:$O$46</definedName>
    <definedName name="Speed">'[1]Euro V &amp; VI EF - HDVs &amp; Bus'!$S:$S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6" l="1"/>
  <c r="E52" i="16"/>
  <c r="C72" i="20"/>
  <c r="C47" i="20"/>
  <c r="C72" i="17"/>
  <c r="C47" i="17"/>
  <c r="D48" i="2"/>
  <c r="D47" i="2"/>
  <c r="D46" i="2"/>
  <c r="D45" i="2"/>
  <c r="D44" i="2"/>
  <c r="D43" i="2"/>
  <c r="D42" i="2"/>
  <c r="D41" i="2"/>
  <c r="D39" i="2"/>
  <c r="D38" i="2"/>
  <c r="D37" i="2"/>
  <c r="D36" i="2"/>
  <c r="D35" i="2"/>
  <c r="D34" i="2"/>
  <c r="D33" i="2"/>
  <c r="D32" i="2"/>
  <c r="C68" i="16"/>
  <c r="C67" i="16"/>
  <c r="C66" i="16"/>
  <c r="C65" i="16"/>
  <c r="C64" i="16"/>
  <c r="C63" i="16"/>
  <c r="C62" i="16"/>
  <c r="C61" i="16" s="1"/>
  <c r="C74" i="18"/>
  <c r="C73" i="18"/>
  <c r="D48" i="16"/>
  <c r="E48" i="16"/>
  <c r="C48" i="16"/>
  <c r="M19" i="15"/>
  <c r="M61" i="15" s="1"/>
  <c r="M18" i="15"/>
  <c r="M60" i="15" s="1"/>
  <c r="M16" i="15"/>
  <c r="M58" i="15" s="1"/>
  <c r="M14" i="15"/>
  <c r="M56" i="15" s="1"/>
  <c r="M13" i="15"/>
  <c r="M46" i="15" s="1"/>
  <c r="C37" i="18"/>
  <c r="E17" i="20"/>
  <c r="E78" i="20" s="1"/>
  <c r="E16" i="20"/>
  <c r="E66" i="20" s="1"/>
  <c r="E15" i="20"/>
  <c r="E51" i="20" s="1"/>
  <c r="E13" i="20"/>
  <c r="E49" i="20" s="1"/>
  <c r="E12" i="20"/>
  <c r="E37" i="20" s="1"/>
  <c r="P8" i="19"/>
  <c r="O8" i="19"/>
  <c r="M8" i="19"/>
  <c r="K8" i="19"/>
  <c r="C71" i="18"/>
  <c r="C70" i="18"/>
  <c r="C69" i="18"/>
  <c r="M17" i="15" s="1"/>
  <c r="C67" i="18"/>
  <c r="L8" i="19" s="1"/>
  <c r="C68" i="18"/>
  <c r="E14" i="20" s="1"/>
  <c r="C66" i="18"/>
  <c r="C65" i="18"/>
  <c r="E11" i="20" s="1"/>
  <c r="C59" i="18"/>
  <c r="C60" i="18"/>
  <c r="C49" i="18"/>
  <c r="C35" i="18"/>
  <c r="M22" i="15" l="1"/>
  <c r="M23" i="15"/>
  <c r="M47" i="15"/>
  <c r="M55" i="15"/>
  <c r="M51" i="15"/>
  <c r="M52" i="15"/>
  <c r="E52" i="20"/>
  <c r="M27" i="15"/>
  <c r="E41" i="20"/>
  <c r="M28" i="15"/>
  <c r="M50" i="15"/>
  <c r="M26" i="15"/>
  <c r="M59" i="15"/>
  <c r="E40" i="20"/>
  <c r="N8" i="19"/>
  <c r="E50" i="20"/>
  <c r="E25" i="20"/>
  <c r="M49" i="15"/>
  <c r="M25" i="15"/>
  <c r="M15" i="15"/>
  <c r="E24" i="20"/>
  <c r="E38" i="20"/>
  <c r="E74" i="20"/>
  <c r="E67" i="20"/>
  <c r="E23" i="20"/>
  <c r="E39" i="20"/>
  <c r="E53" i="20"/>
  <c r="E73" i="20"/>
  <c r="E42" i="20"/>
  <c r="E62" i="20"/>
  <c r="E75" i="20"/>
  <c r="E26" i="20"/>
  <c r="E48" i="20"/>
  <c r="E63" i="20"/>
  <c r="E76" i="20"/>
  <c r="E27" i="20"/>
  <c r="E64" i="20"/>
  <c r="E77" i="20"/>
  <c r="E28" i="20"/>
  <c r="E65" i="20"/>
  <c r="E22" i="20"/>
  <c r="E36" i="20"/>
  <c r="E47" i="20"/>
  <c r="E61" i="20"/>
  <c r="E72" i="20"/>
  <c r="J8" i="19"/>
  <c r="R54" i="15"/>
  <c r="Q54" i="15"/>
  <c r="S54" i="15" s="1"/>
  <c r="R45" i="15"/>
  <c r="R63" i="15" s="1"/>
  <c r="Q45" i="15"/>
  <c r="Q63" i="15" s="1"/>
  <c r="S63" i="15" s="1"/>
  <c r="S21" i="15"/>
  <c r="R21" i="15"/>
  <c r="Q21" i="15"/>
  <c r="R12" i="15"/>
  <c r="R30" i="15" s="1"/>
  <c r="Q12" i="15"/>
  <c r="Q30" i="15" s="1"/>
  <c r="N21" i="15"/>
  <c r="O12" i="15"/>
  <c r="N12" i="15"/>
  <c r="N30" i="15" s="1"/>
  <c r="C78" i="20"/>
  <c r="C77" i="20"/>
  <c r="C76" i="20"/>
  <c r="C75" i="20"/>
  <c r="C74" i="20"/>
  <c r="C73" i="20"/>
  <c r="C71" i="20"/>
  <c r="H69" i="20"/>
  <c r="G69" i="20"/>
  <c r="F69" i="20"/>
  <c r="C67" i="20"/>
  <c r="C61" i="20"/>
  <c r="C60" i="20"/>
  <c r="H58" i="20"/>
  <c r="G58" i="20"/>
  <c r="F58" i="20"/>
  <c r="C53" i="20"/>
  <c r="C52" i="20"/>
  <c r="C51" i="20"/>
  <c r="C50" i="20"/>
  <c r="C49" i="20"/>
  <c r="C48" i="20"/>
  <c r="C46" i="20"/>
  <c r="H44" i="20"/>
  <c r="G44" i="20"/>
  <c r="F44" i="20"/>
  <c r="C42" i="20"/>
  <c r="C36" i="20"/>
  <c r="C35" i="20"/>
  <c r="H33" i="20"/>
  <c r="H35" i="20" s="1"/>
  <c r="G33" i="20"/>
  <c r="F33" i="20"/>
  <c r="H19" i="20"/>
  <c r="H21" i="20" s="1"/>
  <c r="G19" i="20"/>
  <c r="G21" i="20" s="1"/>
  <c r="F19" i="20"/>
  <c r="F21" i="20" s="1"/>
  <c r="H8" i="20"/>
  <c r="H10" i="20" s="1"/>
  <c r="G8" i="20"/>
  <c r="G10" i="20" s="1"/>
  <c r="F8" i="20"/>
  <c r="F10" i="20" s="1"/>
  <c r="F43" i="13"/>
  <c r="F42" i="13"/>
  <c r="F41" i="13"/>
  <c r="F40" i="13"/>
  <c r="F39" i="13"/>
  <c r="P19" i="11"/>
  <c r="O19" i="11"/>
  <c r="N19" i="11"/>
  <c r="M19" i="11"/>
  <c r="L19" i="11"/>
  <c r="K19" i="11"/>
  <c r="J19" i="11"/>
  <c r="I19" i="11"/>
  <c r="O37" i="19"/>
  <c r="O36" i="19"/>
  <c r="O35" i="19"/>
  <c r="O34" i="19"/>
  <c r="O32" i="19"/>
  <c r="O30" i="19"/>
  <c r="O39" i="19" s="1"/>
  <c r="N37" i="19"/>
  <c r="N36" i="19"/>
  <c r="N35" i="19"/>
  <c r="N34" i="19"/>
  <c r="N32" i="19"/>
  <c r="N30" i="19"/>
  <c r="N39" i="19" s="1"/>
  <c r="M37" i="19"/>
  <c r="M36" i="19"/>
  <c r="M35" i="19"/>
  <c r="M34" i="19"/>
  <c r="M32" i="19"/>
  <c r="M30" i="19"/>
  <c r="M39" i="19" s="1"/>
  <c r="L37" i="19"/>
  <c r="L36" i="19"/>
  <c r="L35" i="19"/>
  <c r="L34" i="19"/>
  <c r="L32" i="19"/>
  <c r="L30" i="19"/>
  <c r="L39" i="19" s="1"/>
  <c r="K37" i="19"/>
  <c r="K36" i="19"/>
  <c r="K35" i="19"/>
  <c r="K34" i="19"/>
  <c r="K32" i="19"/>
  <c r="K30" i="19"/>
  <c r="K39" i="19" s="1"/>
  <c r="P19" i="19"/>
  <c r="P18" i="19"/>
  <c r="P17" i="19"/>
  <c r="P15" i="19"/>
  <c r="P13" i="19"/>
  <c r="J19" i="19"/>
  <c r="J18" i="19"/>
  <c r="J17" i="19"/>
  <c r="J15" i="19"/>
  <c r="J22" i="19" s="1"/>
  <c r="J13" i="19"/>
  <c r="M44" i="19"/>
  <c r="H75" i="19"/>
  <c r="G75" i="19"/>
  <c r="F75" i="19"/>
  <c r="E75" i="19"/>
  <c r="C75" i="19"/>
  <c r="H74" i="19"/>
  <c r="G74" i="19"/>
  <c r="F74" i="19"/>
  <c r="E74" i="19"/>
  <c r="C74" i="19"/>
  <c r="H73" i="19"/>
  <c r="F73" i="19"/>
  <c r="E73" i="19"/>
  <c r="C73" i="19"/>
  <c r="H72" i="19"/>
  <c r="F72" i="19"/>
  <c r="E72" i="19"/>
  <c r="C72" i="19"/>
  <c r="H70" i="19"/>
  <c r="G70" i="19"/>
  <c r="F70" i="19"/>
  <c r="E70" i="19"/>
  <c r="C70" i="19"/>
  <c r="H68" i="19"/>
  <c r="F68" i="19"/>
  <c r="C68" i="19"/>
  <c r="P66" i="19"/>
  <c r="O66" i="19"/>
  <c r="O75" i="19" s="1"/>
  <c r="N66" i="19"/>
  <c r="N73" i="19" s="1"/>
  <c r="M66" i="19"/>
  <c r="M75" i="19" s="1"/>
  <c r="L66" i="19"/>
  <c r="L73" i="19" s="1"/>
  <c r="K66" i="19"/>
  <c r="K75" i="19" s="1"/>
  <c r="J66" i="19"/>
  <c r="I66" i="19"/>
  <c r="I68" i="19" s="1"/>
  <c r="H57" i="19"/>
  <c r="G57" i="19"/>
  <c r="F57" i="19"/>
  <c r="C57" i="19"/>
  <c r="H56" i="19"/>
  <c r="G56" i="19"/>
  <c r="F56" i="19"/>
  <c r="E56" i="19"/>
  <c r="C56" i="19"/>
  <c r="H55" i="19"/>
  <c r="G55" i="19"/>
  <c r="F55" i="19"/>
  <c r="E55" i="19"/>
  <c r="C55" i="19"/>
  <c r="H53" i="19"/>
  <c r="G53" i="19"/>
  <c r="F53" i="19"/>
  <c r="E53" i="19"/>
  <c r="C53" i="19"/>
  <c r="H51" i="19"/>
  <c r="G51" i="19"/>
  <c r="G68" i="19" s="1"/>
  <c r="F51" i="19"/>
  <c r="E51" i="19"/>
  <c r="E68" i="19" s="1"/>
  <c r="C51" i="19"/>
  <c r="P49" i="19"/>
  <c r="P57" i="19" s="1"/>
  <c r="O49" i="19"/>
  <c r="N49" i="19"/>
  <c r="M49" i="19"/>
  <c r="L49" i="19"/>
  <c r="K49" i="19"/>
  <c r="J49" i="19"/>
  <c r="J51" i="19" s="1"/>
  <c r="I49" i="19"/>
  <c r="I57" i="19" s="1"/>
  <c r="I37" i="19"/>
  <c r="I40" i="19" s="1"/>
  <c r="H37" i="19"/>
  <c r="G37" i="19"/>
  <c r="F37" i="19"/>
  <c r="E37" i="19"/>
  <c r="C37" i="19"/>
  <c r="I36" i="19"/>
  <c r="H36" i="19"/>
  <c r="G36" i="19"/>
  <c r="F36" i="19"/>
  <c r="E36" i="19"/>
  <c r="C36" i="19"/>
  <c r="I35" i="19"/>
  <c r="H35" i="19"/>
  <c r="C35" i="19"/>
  <c r="H34" i="19"/>
  <c r="E34" i="19"/>
  <c r="C34" i="19"/>
  <c r="H32" i="19"/>
  <c r="F32" i="19"/>
  <c r="E32" i="19"/>
  <c r="C32" i="19"/>
  <c r="H30" i="19"/>
  <c r="G30" i="19"/>
  <c r="F30" i="19"/>
  <c r="E30" i="19"/>
  <c r="C30" i="19"/>
  <c r="P28" i="19"/>
  <c r="O28" i="19"/>
  <c r="N28" i="19"/>
  <c r="M28" i="19"/>
  <c r="L28" i="19"/>
  <c r="K28" i="19"/>
  <c r="J28" i="19"/>
  <c r="I28" i="19"/>
  <c r="I34" i="19" s="1"/>
  <c r="H19" i="19"/>
  <c r="G19" i="19"/>
  <c r="F19" i="19"/>
  <c r="C19" i="19"/>
  <c r="H18" i="19"/>
  <c r="G18" i="19"/>
  <c r="G35" i="19" s="1"/>
  <c r="F18" i="19"/>
  <c r="F35" i="19" s="1"/>
  <c r="E18" i="19"/>
  <c r="E35" i="19" s="1"/>
  <c r="C18" i="19"/>
  <c r="H17" i="19"/>
  <c r="G17" i="19"/>
  <c r="G34" i="19" s="1"/>
  <c r="F17" i="19"/>
  <c r="F34" i="19" s="1"/>
  <c r="E17" i="19"/>
  <c r="C17" i="19"/>
  <c r="I15" i="19"/>
  <c r="I22" i="19" s="1"/>
  <c r="H15" i="19"/>
  <c r="G15" i="19"/>
  <c r="G32" i="19" s="1"/>
  <c r="F15" i="19"/>
  <c r="E15" i="19"/>
  <c r="C15" i="19"/>
  <c r="H13" i="19"/>
  <c r="G13" i="19"/>
  <c r="F13" i="19"/>
  <c r="E13" i="19"/>
  <c r="C13" i="19"/>
  <c r="P11" i="19"/>
  <c r="O11" i="19"/>
  <c r="N11" i="19"/>
  <c r="M11" i="19"/>
  <c r="L11" i="19"/>
  <c r="K11" i="19"/>
  <c r="J11" i="19"/>
  <c r="I11" i="19"/>
  <c r="I19" i="19" s="1"/>
  <c r="H40" i="18"/>
  <c r="G43" i="13" s="1"/>
  <c r="H33" i="18"/>
  <c r="G41" i="13" s="1"/>
  <c r="D53" i="16" l="1"/>
  <c r="N75" i="19"/>
  <c r="P51" i="19"/>
  <c r="P59" i="19" s="1"/>
  <c r="P53" i="19"/>
  <c r="P60" i="19" s="1"/>
  <c r="P55" i="19"/>
  <c r="J53" i="19"/>
  <c r="J60" i="19" s="1"/>
  <c r="O70" i="19"/>
  <c r="L74" i="19"/>
  <c r="O68" i="19"/>
  <c r="O77" i="19" s="1"/>
  <c r="N74" i="19"/>
  <c r="L75" i="19"/>
  <c r="K68" i="19"/>
  <c r="K77" i="19" s="1"/>
  <c r="M68" i="19"/>
  <c r="M77" i="19" s="1"/>
  <c r="K70" i="19"/>
  <c r="M70" i="19"/>
  <c r="K72" i="19"/>
  <c r="M72" i="19"/>
  <c r="O72" i="19"/>
  <c r="K73" i="19"/>
  <c r="M73" i="19"/>
  <c r="O73" i="19"/>
  <c r="K74" i="19"/>
  <c r="M74" i="19"/>
  <c r="O74" i="19"/>
  <c r="L68" i="19"/>
  <c r="L77" i="19" s="1"/>
  <c r="N68" i="19"/>
  <c r="N77" i="19" s="1"/>
  <c r="L70" i="19"/>
  <c r="N70" i="19"/>
  <c r="L72" i="19"/>
  <c r="N72" i="19"/>
  <c r="J55" i="19"/>
  <c r="J56" i="19"/>
  <c r="J57" i="19"/>
  <c r="P56" i="19"/>
  <c r="M24" i="15"/>
  <c r="M48" i="15"/>
  <c r="M57" i="15"/>
  <c r="P12" i="15"/>
  <c r="S30" i="15"/>
  <c r="J46" i="19"/>
  <c r="J32" i="19"/>
  <c r="H46" i="20"/>
  <c r="F71" i="20"/>
  <c r="G35" i="20"/>
  <c r="F46" i="20"/>
  <c r="H60" i="20"/>
  <c r="G46" i="20"/>
  <c r="S12" i="15"/>
  <c r="H71" i="20"/>
  <c r="F60" i="20"/>
  <c r="G71" i="20"/>
  <c r="G60" i="20"/>
  <c r="F35" i="20"/>
  <c r="M40" i="19"/>
  <c r="G42" i="13"/>
  <c r="H42" i="13" s="1"/>
  <c r="K40" i="19"/>
  <c r="O40" i="19"/>
  <c r="N40" i="19"/>
  <c r="L40" i="19"/>
  <c r="S45" i="15"/>
  <c r="G39" i="13"/>
  <c r="H39" i="13" s="1"/>
  <c r="G40" i="13"/>
  <c r="H40" i="13" s="1"/>
  <c r="H41" i="13"/>
  <c r="H43" i="13"/>
  <c r="J35" i="19"/>
  <c r="C51" i="16" s="1"/>
  <c r="J36" i="19"/>
  <c r="J37" i="19"/>
  <c r="C53" i="16" s="1"/>
  <c r="J30" i="19"/>
  <c r="J39" i="19" s="1"/>
  <c r="J34" i="19"/>
  <c r="C50" i="16" s="1"/>
  <c r="I41" i="19"/>
  <c r="K41" i="19"/>
  <c r="K42" i="19" s="1"/>
  <c r="G73" i="19"/>
  <c r="G72" i="19"/>
  <c r="I13" i="19"/>
  <c r="I21" i="19" s="1"/>
  <c r="I18" i="19"/>
  <c r="J21" i="19"/>
  <c r="I73" i="19"/>
  <c r="I72" i="19"/>
  <c r="I75" i="19"/>
  <c r="I74" i="19"/>
  <c r="I70" i="19"/>
  <c r="I77" i="19"/>
  <c r="I17" i="19"/>
  <c r="L41" i="19"/>
  <c r="L42" i="19" s="1"/>
  <c r="N41" i="19"/>
  <c r="N42" i="19" s="1"/>
  <c r="I51" i="19"/>
  <c r="I59" i="19" s="1"/>
  <c r="P22" i="19"/>
  <c r="I30" i="19"/>
  <c r="I39" i="19" s="1"/>
  <c r="I55" i="19"/>
  <c r="P21" i="19"/>
  <c r="J59" i="19"/>
  <c r="I53" i="19"/>
  <c r="I60" i="19" s="1"/>
  <c r="I32" i="19"/>
  <c r="I56" i="19"/>
  <c r="H45" i="18"/>
  <c r="C56" i="18"/>
  <c r="C51" i="18"/>
  <c r="C45" i="18"/>
  <c r="C38" i="18"/>
  <c r="D39" i="18"/>
  <c r="D31" i="18"/>
  <c r="D30" i="18"/>
  <c r="D29" i="18"/>
  <c r="D25" i="18"/>
  <c r="D24" i="18"/>
  <c r="D23" i="18"/>
  <c r="D19" i="18"/>
  <c r="D18" i="18"/>
  <c r="D14" i="18"/>
  <c r="D13" i="18"/>
  <c r="C21" i="18"/>
  <c r="C43" i="18" s="1"/>
  <c r="D43" i="18" s="1"/>
  <c r="C27" i="18"/>
  <c r="C55" i="18"/>
  <c r="C55" i="16" l="1"/>
  <c r="C54" i="16"/>
  <c r="C49" i="16"/>
  <c r="N79" i="19"/>
  <c r="O78" i="19"/>
  <c r="O79" i="19"/>
  <c r="O80" i="19" s="1"/>
  <c r="J73" i="19"/>
  <c r="I78" i="19"/>
  <c r="J68" i="19"/>
  <c r="J77" i="19" s="1"/>
  <c r="J74" i="19"/>
  <c r="J72" i="19"/>
  <c r="J75" i="19"/>
  <c r="J70" i="19"/>
  <c r="E61" i="16"/>
  <c r="T12" i="15"/>
  <c r="U12" i="15" s="1"/>
  <c r="C44" i="18"/>
  <c r="J40" i="19"/>
  <c r="C12" i="20"/>
  <c r="C12" i="17"/>
  <c r="C16" i="20"/>
  <c r="C16" i="17"/>
  <c r="C15" i="20"/>
  <c r="C15" i="17"/>
  <c r="C14" i="20"/>
  <c r="C14" i="17"/>
  <c r="C13" i="20"/>
  <c r="C13" i="17"/>
  <c r="H11" i="20"/>
  <c r="G11" i="20"/>
  <c r="F11" i="20"/>
  <c r="J41" i="19"/>
  <c r="J42" i="19" s="1"/>
  <c r="I42" i="19"/>
  <c r="I23" i="19"/>
  <c r="I24" i="19" s="1"/>
  <c r="M79" i="19"/>
  <c r="M80" i="19" s="1"/>
  <c r="P61" i="19"/>
  <c r="P62" i="19" s="1"/>
  <c r="N78" i="19"/>
  <c r="I61" i="19"/>
  <c r="I62" i="19" s="1"/>
  <c r="M78" i="19"/>
  <c r="P23" i="19"/>
  <c r="P24" i="19" s="1"/>
  <c r="I79" i="19"/>
  <c r="I80" i="19" s="1"/>
  <c r="L78" i="19"/>
  <c r="M41" i="19"/>
  <c r="M42" i="19" s="1"/>
  <c r="K78" i="19"/>
  <c r="O41" i="19"/>
  <c r="O42" i="19" s="1"/>
  <c r="J61" i="19"/>
  <c r="J62" i="19" s="1"/>
  <c r="J23" i="19"/>
  <c r="J24" i="19" s="1"/>
  <c r="L79" i="19"/>
  <c r="L80" i="19" s="1"/>
  <c r="K79" i="19"/>
  <c r="K80" i="19" s="1"/>
  <c r="N80" i="19"/>
  <c r="D60" i="18"/>
  <c r="C58" i="18"/>
  <c r="K13" i="19" s="1"/>
  <c r="D44" i="18"/>
  <c r="C42" i="18"/>
  <c r="D55" i="18"/>
  <c r="C53" i="18"/>
  <c r="D49" i="18"/>
  <c r="C54" i="18"/>
  <c r="D54" i="18" s="1"/>
  <c r="D59" i="18"/>
  <c r="C50" i="18"/>
  <c r="F56" i="7"/>
  <c r="F54" i="7"/>
  <c r="C56" i="7"/>
  <c r="J78" i="19" l="1"/>
  <c r="C39" i="20"/>
  <c r="F39" i="20" s="1"/>
  <c r="C64" i="20"/>
  <c r="H22" i="20"/>
  <c r="G22" i="20"/>
  <c r="F22" i="20"/>
  <c r="C40" i="20"/>
  <c r="C65" i="20"/>
  <c r="O13" i="15"/>
  <c r="N13" i="15"/>
  <c r="H17" i="20"/>
  <c r="G17" i="20"/>
  <c r="F17" i="20"/>
  <c r="H61" i="20"/>
  <c r="G61" i="20"/>
  <c r="F61" i="20"/>
  <c r="F16" i="20"/>
  <c r="H16" i="20"/>
  <c r="G16" i="20"/>
  <c r="C66" i="20"/>
  <c r="C41" i="20"/>
  <c r="C38" i="20"/>
  <c r="C63" i="20"/>
  <c r="C37" i="20"/>
  <c r="H12" i="20"/>
  <c r="G12" i="20"/>
  <c r="F12" i="20"/>
  <c r="C62" i="20"/>
  <c r="H36" i="20"/>
  <c r="G36" i="20"/>
  <c r="F36" i="20"/>
  <c r="O18" i="19"/>
  <c r="O17" i="19"/>
  <c r="O15" i="19"/>
  <c r="O22" i="19" s="1"/>
  <c r="O13" i="19"/>
  <c r="O21" i="19" s="1"/>
  <c r="O46" i="19"/>
  <c r="O19" i="19"/>
  <c r="P37" i="19"/>
  <c r="E53" i="16" s="1"/>
  <c r="P36" i="19"/>
  <c r="P46" i="19"/>
  <c r="P34" i="19"/>
  <c r="E50" i="16" s="1"/>
  <c r="P30" i="19"/>
  <c r="P35" i="19"/>
  <c r="E51" i="16" s="1"/>
  <c r="P32" i="19"/>
  <c r="K46" i="19"/>
  <c r="K19" i="19"/>
  <c r="K18" i="19"/>
  <c r="K17" i="19"/>
  <c r="K15" i="19"/>
  <c r="K22" i="19" s="1"/>
  <c r="K21" i="19"/>
  <c r="J79" i="19"/>
  <c r="J80" i="19" s="1"/>
  <c r="D50" i="18"/>
  <c r="C48" i="18"/>
  <c r="C57" i="18"/>
  <c r="C61" i="18"/>
  <c r="C40" i="18"/>
  <c r="C52" i="18"/>
  <c r="C46" i="18"/>
  <c r="E55" i="16" l="1"/>
  <c r="F55" i="16" s="1"/>
  <c r="E54" i="16"/>
  <c r="F54" i="16" s="1"/>
  <c r="P39" i="19"/>
  <c r="E49" i="16"/>
  <c r="H48" i="20"/>
  <c r="G48" i="20"/>
  <c r="F48" i="20"/>
  <c r="H23" i="20"/>
  <c r="G23" i="20"/>
  <c r="F23" i="20"/>
  <c r="O14" i="15"/>
  <c r="N14" i="15"/>
  <c r="O19" i="15"/>
  <c r="N19" i="15"/>
  <c r="O18" i="15"/>
  <c r="N18" i="15"/>
  <c r="H62" i="20"/>
  <c r="G62" i="20"/>
  <c r="F62" i="20"/>
  <c r="H67" i="20"/>
  <c r="G67" i="20"/>
  <c r="F67" i="20"/>
  <c r="F77" i="20"/>
  <c r="H77" i="20"/>
  <c r="G77" i="20"/>
  <c r="H42" i="20"/>
  <c r="G42" i="20"/>
  <c r="F42" i="20"/>
  <c r="F52" i="20"/>
  <c r="H52" i="20"/>
  <c r="G52" i="20"/>
  <c r="F41" i="20"/>
  <c r="H41" i="20"/>
  <c r="G41" i="20"/>
  <c r="H72" i="20"/>
  <c r="G72" i="20"/>
  <c r="F72" i="20"/>
  <c r="N22" i="15"/>
  <c r="F27" i="20"/>
  <c r="H27" i="20"/>
  <c r="G27" i="20"/>
  <c r="F66" i="20"/>
  <c r="H66" i="20"/>
  <c r="G66" i="20"/>
  <c r="H28" i="20"/>
  <c r="G28" i="20"/>
  <c r="F28" i="20"/>
  <c r="P13" i="15"/>
  <c r="P40" i="19"/>
  <c r="H47" i="20"/>
  <c r="G47" i="20"/>
  <c r="F47" i="20"/>
  <c r="H73" i="20"/>
  <c r="G73" i="20"/>
  <c r="F73" i="20"/>
  <c r="H37" i="20"/>
  <c r="G37" i="20"/>
  <c r="F37" i="20"/>
  <c r="O23" i="19"/>
  <c r="O24" i="19" s="1"/>
  <c r="P41" i="19"/>
  <c r="P42" i="19" s="1"/>
  <c r="K57" i="19"/>
  <c r="K56" i="19"/>
  <c r="K55" i="19"/>
  <c r="K53" i="19"/>
  <c r="K60" i="19" s="1"/>
  <c r="K51" i="19"/>
  <c r="K59" i="19" s="1"/>
  <c r="P75" i="19"/>
  <c r="P74" i="19"/>
  <c r="P70" i="19"/>
  <c r="P68" i="19"/>
  <c r="P77" i="19" s="1"/>
  <c r="P73" i="19"/>
  <c r="P72" i="19"/>
  <c r="K23" i="19"/>
  <c r="K24" i="19" s="1"/>
  <c r="O51" i="19"/>
  <c r="O59" i="19" s="1"/>
  <c r="O57" i="19"/>
  <c r="O56" i="19"/>
  <c r="O55" i="19"/>
  <c r="O53" i="19"/>
  <c r="O60" i="19" s="1"/>
  <c r="G63" i="15"/>
  <c r="F63" i="15"/>
  <c r="H63" i="15" s="1"/>
  <c r="G30" i="15"/>
  <c r="F30" i="15"/>
  <c r="H30" i="15" s="1"/>
  <c r="C23" i="16"/>
  <c r="G61" i="15"/>
  <c r="F61" i="15"/>
  <c r="G60" i="15"/>
  <c r="F60" i="15"/>
  <c r="G59" i="15"/>
  <c r="F59" i="15"/>
  <c r="G58" i="15"/>
  <c r="F58" i="15"/>
  <c r="G57" i="15"/>
  <c r="F57" i="15"/>
  <c r="G56" i="15"/>
  <c r="F56" i="15"/>
  <c r="G54" i="15"/>
  <c r="F54" i="15"/>
  <c r="G45" i="15"/>
  <c r="F45" i="15"/>
  <c r="G28" i="15"/>
  <c r="G27" i="15"/>
  <c r="G26" i="15"/>
  <c r="G25" i="15"/>
  <c r="G24" i="15"/>
  <c r="G23" i="15"/>
  <c r="G21" i="15"/>
  <c r="G12" i="15"/>
  <c r="F28" i="15"/>
  <c r="F27" i="15"/>
  <c r="F26" i="15"/>
  <c r="F25" i="15"/>
  <c r="F24" i="15"/>
  <c r="F23" i="15"/>
  <c r="F21" i="15"/>
  <c r="F78" i="17"/>
  <c r="E78" i="17"/>
  <c r="D78" i="17"/>
  <c r="F77" i="17"/>
  <c r="E77" i="17"/>
  <c r="D77" i="17"/>
  <c r="F76" i="17"/>
  <c r="E76" i="17"/>
  <c r="D76" i="17"/>
  <c r="F75" i="17"/>
  <c r="E75" i="17"/>
  <c r="D75" i="17"/>
  <c r="F74" i="17"/>
  <c r="E74" i="17"/>
  <c r="D74" i="17"/>
  <c r="F73" i="17"/>
  <c r="E73" i="17"/>
  <c r="D73" i="17"/>
  <c r="F71" i="17"/>
  <c r="E71" i="17"/>
  <c r="D71" i="17"/>
  <c r="F60" i="17"/>
  <c r="E60" i="17"/>
  <c r="D60" i="17"/>
  <c r="F53" i="17"/>
  <c r="E53" i="17"/>
  <c r="D53" i="17"/>
  <c r="F52" i="17"/>
  <c r="E52" i="17"/>
  <c r="D52" i="17"/>
  <c r="F51" i="17"/>
  <c r="E51" i="17"/>
  <c r="D51" i="17"/>
  <c r="F50" i="17"/>
  <c r="E50" i="17"/>
  <c r="D50" i="17"/>
  <c r="F49" i="17"/>
  <c r="E49" i="17"/>
  <c r="D49" i="17"/>
  <c r="F48" i="17"/>
  <c r="E48" i="17"/>
  <c r="D48" i="17"/>
  <c r="F46" i="17"/>
  <c r="E46" i="17"/>
  <c r="D46" i="17"/>
  <c r="F35" i="17"/>
  <c r="E35" i="17"/>
  <c r="D35" i="17"/>
  <c r="F28" i="17"/>
  <c r="E28" i="17"/>
  <c r="D28" i="17"/>
  <c r="F27" i="17"/>
  <c r="E27" i="17"/>
  <c r="D27" i="17"/>
  <c r="F26" i="17"/>
  <c r="E26" i="17"/>
  <c r="D26" i="17"/>
  <c r="F25" i="17"/>
  <c r="E25" i="17"/>
  <c r="D25" i="17"/>
  <c r="F24" i="17"/>
  <c r="E24" i="17"/>
  <c r="D24" i="17"/>
  <c r="F23" i="17"/>
  <c r="E23" i="17"/>
  <c r="D23" i="17"/>
  <c r="F21" i="17"/>
  <c r="E21" i="17"/>
  <c r="D21" i="17"/>
  <c r="F17" i="17"/>
  <c r="E17" i="17"/>
  <c r="G19" i="15" s="1"/>
  <c r="G37" i="15" s="1"/>
  <c r="F11" i="17"/>
  <c r="E11" i="17"/>
  <c r="G46" i="15" s="1"/>
  <c r="R46" i="15" s="1"/>
  <c r="F10" i="17"/>
  <c r="E10" i="17"/>
  <c r="D17" i="17"/>
  <c r="F52" i="15" s="1"/>
  <c r="F70" i="15" s="1"/>
  <c r="D11" i="17"/>
  <c r="F13" i="15" s="1"/>
  <c r="Q13" i="15" s="1"/>
  <c r="D10" i="17"/>
  <c r="F12" i="15" s="1"/>
  <c r="C78" i="17"/>
  <c r="C77" i="17"/>
  <c r="C76" i="17"/>
  <c r="C75" i="17"/>
  <c r="C74" i="17"/>
  <c r="C73" i="17"/>
  <c r="C71" i="17"/>
  <c r="C53" i="17"/>
  <c r="C52" i="17"/>
  <c r="C51" i="17"/>
  <c r="C50" i="17"/>
  <c r="C49" i="17"/>
  <c r="C48" i="17"/>
  <c r="C46" i="17"/>
  <c r="C67" i="17"/>
  <c r="F67" i="17" s="1"/>
  <c r="C61" i="17"/>
  <c r="F61" i="17" s="1"/>
  <c r="C60" i="17"/>
  <c r="C42" i="17"/>
  <c r="F42" i="17" s="1"/>
  <c r="C36" i="17"/>
  <c r="E36" i="17" s="1"/>
  <c r="C35" i="17"/>
  <c r="F44" i="17"/>
  <c r="E44" i="17"/>
  <c r="D44" i="17"/>
  <c r="F33" i="17"/>
  <c r="E33" i="17"/>
  <c r="D33" i="17"/>
  <c r="F19" i="17"/>
  <c r="F8" i="17"/>
  <c r="F69" i="17"/>
  <c r="F58" i="17"/>
  <c r="E19" i="17"/>
  <c r="E8" i="17"/>
  <c r="D19" i="17"/>
  <c r="D8" i="17"/>
  <c r="I53" i="15"/>
  <c r="R19" i="15" l="1"/>
  <c r="P18" i="15"/>
  <c r="N31" i="15"/>
  <c r="Q52" i="15"/>
  <c r="R27" i="15"/>
  <c r="Q27" i="15"/>
  <c r="N27" i="15"/>
  <c r="P14" i="15"/>
  <c r="H15" i="20"/>
  <c r="G15" i="20"/>
  <c r="F15" i="20"/>
  <c r="H78" i="20"/>
  <c r="G78" i="20"/>
  <c r="F78" i="20"/>
  <c r="H53" i="20"/>
  <c r="G53" i="20"/>
  <c r="F53" i="20"/>
  <c r="P19" i="15"/>
  <c r="R23" i="15"/>
  <c r="Q23" i="15"/>
  <c r="N23" i="15"/>
  <c r="H13" i="20"/>
  <c r="G13" i="20"/>
  <c r="F13" i="20"/>
  <c r="R28" i="15"/>
  <c r="Q28" i="15"/>
  <c r="N28" i="15"/>
  <c r="H14" i="20"/>
  <c r="G14" i="20"/>
  <c r="F14" i="20"/>
  <c r="O61" i="19"/>
  <c r="O62" i="19" s="1"/>
  <c r="D42" i="17"/>
  <c r="F36" i="17"/>
  <c r="G13" i="15"/>
  <c r="R13" i="15" s="1"/>
  <c r="S13" i="15" s="1"/>
  <c r="T13" i="15" s="1"/>
  <c r="U13" i="15" s="1"/>
  <c r="E42" i="17"/>
  <c r="D36" i="17"/>
  <c r="G52" i="15"/>
  <c r="G70" i="15" s="1"/>
  <c r="H70" i="15" s="1"/>
  <c r="D61" i="17"/>
  <c r="E61" i="17"/>
  <c r="F46" i="15"/>
  <c r="Q46" i="15" s="1"/>
  <c r="S46" i="15" s="1"/>
  <c r="F19" i="15"/>
  <c r="D67" i="17"/>
  <c r="E67" i="17"/>
  <c r="K61" i="19"/>
  <c r="K62" i="19" s="1"/>
  <c r="P78" i="19"/>
  <c r="N46" i="19"/>
  <c r="N19" i="19"/>
  <c r="N18" i="19"/>
  <c r="N17" i="19"/>
  <c r="N15" i="19"/>
  <c r="N22" i="19" s="1"/>
  <c r="N13" i="19"/>
  <c r="N21" i="19" s="1"/>
  <c r="L46" i="19"/>
  <c r="L19" i="19"/>
  <c r="L18" i="19"/>
  <c r="L17" i="19"/>
  <c r="L15" i="19"/>
  <c r="L22" i="19" s="1"/>
  <c r="L13" i="19"/>
  <c r="P79" i="19"/>
  <c r="P80" i="19" s="1"/>
  <c r="M13" i="19"/>
  <c r="M21" i="19" s="1"/>
  <c r="M19" i="19"/>
  <c r="M18" i="19"/>
  <c r="M17" i="19"/>
  <c r="M15" i="19"/>
  <c r="M22" i="19" s="1"/>
  <c r="M46" i="19"/>
  <c r="C30" i="16"/>
  <c r="D30" i="16"/>
  <c r="D23" i="16"/>
  <c r="E69" i="17"/>
  <c r="D69" i="17"/>
  <c r="E58" i="17"/>
  <c r="D58" i="17"/>
  <c r="D50" i="16" l="1"/>
  <c r="L21" i="19"/>
  <c r="D49" i="16"/>
  <c r="D51" i="16"/>
  <c r="D52" i="16"/>
  <c r="R52" i="15"/>
  <c r="S52" i="15" s="1"/>
  <c r="F37" i="15"/>
  <c r="H37" i="15" s="1"/>
  <c r="Q19" i="15"/>
  <c r="S19" i="15" s="1"/>
  <c r="T19" i="15" s="1"/>
  <c r="U19" i="15" s="1"/>
  <c r="S27" i="15"/>
  <c r="S28" i="15"/>
  <c r="R56" i="15"/>
  <c r="Q56" i="15"/>
  <c r="R37" i="15"/>
  <c r="O15" i="15"/>
  <c r="N15" i="15"/>
  <c r="N37" i="15"/>
  <c r="O16" i="15"/>
  <c r="N16" i="15"/>
  <c r="H64" i="20"/>
  <c r="G64" i="20"/>
  <c r="F64" i="20"/>
  <c r="G38" i="20"/>
  <c r="F38" i="20"/>
  <c r="H38" i="20"/>
  <c r="G65" i="20"/>
  <c r="F65" i="20"/>
  <c r="H65" i="20"/>
  <c r="H39" i="20"/>
  <c r="G39" i="20"/>
  <c r="G24" i="20"/>
  <c r="F24" i="20"/>
  <c r="H24" i="20"/>
  <c r="F40" i="20"/>
  <c r="H40" i="20"/>
  <c r="G40" i="20"/>
  <c r="G63" i="20"/>
  <c r="F63" i="20"/>
  <c r="H63" i="20"/>
  <c r="Q60" i="15"/>
  <c r="R60" i="15"/>
  <c r="O17" i="15"/>
  <c r="N17" i="15"/>
  <c r="H25" i="20"/>
  <c r="G25" i="20"/>
  <c r="F25" i="20"/>
  <c r="H26" i="20"/>
  <c r="G26" i="20"/>
  <c r="F26" i="20"/>
  <c r="N36" i="15"/>
  <c r="S23" i="15"/>
  <c r="N32" i="15"/>
  <c r="R61" i="15"/>
  <c r="Q61" i="15"/>
  <c r="L23" i="19"/>
  <c r="L24" i="19" s="1"/>
  <c r="M23" i="19"/>
  <c r="M24" i="19" s="1"/>
  <c r="N23" i="19"/>
  <c r="N24" i="19" s="1"/>
  <c r="M57" i="19"/>
  <c r="M56" i="19"/>
  <c r="M55" i="19"/>
  <c r="M53" i="19"/>
  <c r="M60" i="19" s="1"/>
  <c r="M51" i="19"/>
  <c r="M59" i="19" s="1"/>
  <c r="L56" i="19"/>
  <c r="L55" i="19"/>
  <c r="L53" i="19"/>
  <c r="L60" i="19" s="1"/>
  <c r="L51" i="19"/>
  <c r="L59" i="19" s="1"/>
  <c r="L57" i="19"/>
  <c r="N57" i="19"/>
  <c r="N56" i="19"/>
  <c r="N55" i="19"/>
  <c r="N53" i="19"/>
  <c r="N60" i="19" s="1"/>
  <c r="N51" i="19"/>
  <c r="N59" i="19" s="1"/>
  <c r="R70" i="15" l="1"/>
  <c r="E68" i="16"/>
  <c r="Q37" i="15"/>
  <c r="S37" i="15" s="1"/>
  <c r="S56" i="15"/>
  <c r="P16" i="15"/>
  <c r="H76" i="20"/>
  <c r="G76" i="20"/>
  <c r="F76" i="20"/>
  <c r="H75" i="20"/>
  <c r="G75" i="20"/>
  <c r="F75" i="20"/>
  <c r="S61" i="15"/>
  <c r="S60" i="15"/>
  <c r="H50" i="20"/>
  <c r="G50" i="20"/>
  <c r="F50" i="20"/>
  <c r="P15" i="15"/>
  <c r="R26" i="15"/>
  <c r="Q26" i="15"/>
  <c r="N26" i="15"/>
  <c r="N35" i="15" s="1"/>
  <c r="H51" i="20"/>
  <c r="G51" i="20"/>
  <c r="F51" i="20"/>
  <c r="Q70" i="15"/>
  <c r="S70" i="15" s="1"/>
  <c r="G74" i="20"/>
  <c r="F74" i="20"/>
  <c r="H74" i="20"/>
  <c r="R25" i="15"/>
  <c r="Q25" i="15"/>
  <c r="N25" i="15"/>
  <c r="N34" i="15" s="1"/>
  <c r="R24" i="15"/>
  <c r="Q24" i="15"/>
  <c r="N24" i="15"/>
  <c r="P17" i="15"/>
  <c r="G49" i="20"/>
  <c r="F49" i="20"/>
  <c r="H49" i="20"/>
  <c r="N61" i="19"/>
  <c r="N62" i="19" s="1"/>
  <c r="M61" i="19"/>
  <c r="M62" i="19" s="1"/>
  <c r="L61" i="19"/>
  <c r="L62" i="19" s="1"/>
  <c r="H61" i="15"/>
  <c r="H58" i="15"/>
  <c r="H25" i="15"/>
  <c r="H59" i="15"/>
  <c r="H56" i="15"/>
  <c r="H28" i="15"/>
  <c r="H23" i="15"/>
  <c r="H54" i="15"/>
  <c r="H26" i="15"/>
  <c r="H60" i="15"/>
  <c r="F113" i="9"/>
  <c r="S24" i="15" l="1"/>
  <c r="S25" i="15"/>
  <c r="N33" i="15"/>
  <c r="Q57" i="15"/>
  <c r="R57" i="15"/>
  <c r="Q59" i="15"/>
  <c r="R59" i="15"/>
  <c r="S26" i="15"/>
  <c r="R58" i="15"/>
  <c r="Q58" i="15"/>
  <c r="H57" i="15"/>
  <c r="H27" i="15"/>
  <c r="H21" i="15"/>
  <c r="H24" i="15"/>
  <c r="G35" i="9"/>
  <c r="G38" i="9" s="1"/>
  <c r="G41" i="9" s="1"/>
  <c r="G44" i="9" s="1"/>
  <c r="G47" i="9" s="1"/>
  <c r="G36" i="9"/>
  <c r="G57" i="9" s="1"/>
  <c r="C43" i="9"/>
  <c r="C46" i="9" s="1"/>
  <c r="C44" i="9"/>
  <c r="C47" i="9" s="1"/>
  <c r="C45" i="9"/>
  <c r="C48" i="9"/>
  <c r="F52" i="9"/>
  <c r="D52" i="9" s="1"/>
  <c r="H52" i="9" s="1"/>
  <c r="C20" i="9" s="1"/>
  <c r="H53" i="9"/>
  <c r="E20" i="9" s="1"/>
  <c r="H54" i="9"/>
  <c r="F20" i="9" s="1"/>
  <c r="G64" i="9"/>
  <c r="G34" i="9" s="1"/>
  <c r="G55" i="9" s="1"/>
  <c r="C70" i="9"/>
  <c r="D70" i="9"/>
  <c r="E70" i="9"/>
  <c r="C71" i="9"/>
  <c r="D71" i="9"/>
  <c r="E71" i="9"/>
  <c r="C72" i="9"/>
  <c r="D72" i="9"/>
  <c r="E72" i="9"/>
  <c r="C73" i="9"/>
  <c r="D73" i="9"/>
  <c r="E73" i="9"/>
  <c r="C74" i="9"/>
  <c r="D74" i="9"/>
  <c r="E74" i="9"/>
  <c r="C75" i="9"/>
  <c r="D75" i="9"/>
  <c r="E75" i="9"/>
  <c r="C76" i="9"/>
  <c r="D76" i="9"/>
  <c r="E76" i="9"/>
  <c r="C77" i="9"/>
  <c r="D77" i="9"/>
  <c r="E77" i="9"/>
  <c r="C78" i="9"/>
  <c r="D78" i="9"/>
  <c r="E78" i="9"/>
  <c r="C79" i="9"/>
  <c r="D79" i="9"/>
  <c r="E79" i="9"/>
  <c r="C80" i="9"/>
  <c r="D80" i="9"/>
  <c r="E80" i="9"/>
  <c r="C81" i="9"/>
  <c r="D81" i="9"/>
  <c r="E81" i="9"/>
  <c r="C82" i="9"/>
  <c r="D82" i="9"/>
  <c r="E82" i="9"/>
  <c r="C83" i="9"/>
  <c r="D83" i="9"/>
  <c r="E83" i="9"/>
  <c r="C84" i="9"/>
  <c r="D84" i="9"/>
  <c r="E84" i="9"/>
  <c r="C85" i="9"/>
  <c r="D85" i="9"/>
  <c r="E85" i="9"/>
  <c r="C86" i="9"/>
  <c r="D86" i="9"/>
  <c r="E86" i="9"/>
  <c r="C87" i="9"/>
  <c r="D87" i="9"/>
  <c r="E87" i="9"/>
  <c r="C88" i="9"/>
  <c r="D88" i="9"/>
  <c r="E88" i="9"/>
  <c r="C89" i="9"/>
  <c r="D89" i="9"/>
  <c r="E89" i="9"/>
  <c r="C90" i="9"/>
  <c r="D90" i="9"/>
  <c r="E90" i="9"/>
  <c r="C91" i="9"/>
  <c r="D91" i="9"/>
  <c r="E91" i="9"/>
  <c r="C92" i="9"/>
  <c r="D92" i="9"/>
  <c r="E92" i="9"/>
  <c r="C93" i="9"/>
  <c r="D93" i="9"/>
  <c r="E93" i="9"/>
  <c r="C94" i="9"/>
  <c r="D94" i="9"/>
  <c r="E94" i="9"/>
  <c r="C95" i="9"/>
  <c r="D95" i="9"/>
  <c r="E95" i="9"/>
  <c r="C96" i="9"/>
  <c r="D96" i="9"/>
  <c r="E96" i="9"/>
  <c r="C97" i="9"/>
  <c r="D97" i="9"/>
  <c r="E97" i="9"/>
  <c r="C98" i="9"/>
  <c r="D98" i="9"/>
  <c r="E98" i="9"/>
  <c r="C99" i="9"/>
  <c r="D99" i="9"/>
  <c r="E99" i="9"/>
  <c r="C100" i="9"/>
  <c r="D100" i="9"/>
  <c r="E100" i="9"/>
  <c r="C101" i="9"/>
  <c r="D101" i="9"/>
  <c r="E101" i="9"/>
  <c r="C102" i="9"/>
  <c r="D102" i="9"/>
  <c r="E102" i="9"/>
  <c r="C103" i="9"/>
  <c r="D103" i="9"/>
  <c r="E103" i="9"/>
  <c r="C104" i="9"/>
  <c r="D104" i="9"/>
  <c r="E104" i="9"/>
  <c r="C105" i="9"/>
  <c r="D105" i="9"/>
  <c r="E105" i="9"/>
  <c r="C106" i="9"/>
  <c r="D106" i="9"/>
  <c r="E106" i="9"/>
  <c r="C107" i="9"/>
  <c r="D107" i="9"/>
  <c r="E107" i="9"/>
  <c r="C108" i="9"/>
  <c r="D108" i="9"/>
  <c r="E108" i="9"/>
  <c r="C109" i="9"/>
  <c r="D109" i="9"/>
  <c r="E109" i="9"/>
  <c r="C110" i="9"/>
  <c r="D110" i="9"/>
  <c r="E110" i="9"/>
  <c r="C111" i="9"/>
  <c r="D111" i="9"/>
  <c r="E111" i="9"/>
  <c r="S58" i="15" l="1"/>
  <c r="S57" i="15"/>
  <c r="S59" i="15"/>
  <c r="D113" i="9"/>
  <c r="E113" i="9"/>
  <c r="C113" i="9"/>
  <c r="G56" i="9"/>
  <c r="D62" i="9"/>
  <c r="D36" i="9" s="1"/>
  <c r="D39" i="9" s="1"/>
  <c r="F64" i="9"/>
  <c r="F34" i="9" s="1"/>
  <c r="F37" i="9" s="1"/>
  <c r="F40" i="9" s="1"/>
  <c r="F43" i="9" s="1"/>
  <c r="F46" i="9" s="1"/>
  <c r="F63" i="9"/>
  <c r="F35" i="9" s="1"/>
  <c r="F38" i="9" s="1"/>
  <c r="F41" i="9" s="1"/>
  <c r="F44" i="9" s="1"/>
  <c r="F47" i="9" s="1"/>
  <c r="G39" i="9"/>
  <c r="G42" i="9" s="1"/>
  <c r="G45" i="9" s="1"/>
  <c r="G48" i="9" s="1"/>
  <c r="F62" i="9"/>
  <c r="F36" i="9" s="1"/>
  <c r="F39" i="9" s="1"/>
  <c r="F42" i="9" s="1"/>
  <c r="F45" i="9" s="1"/>
  <c r="F48" i="9" s="1"/>
  <c r="E62" i="9"/>
  <c r="E36" i="9" s="1"/>
  <c r="E57" i="9" s="1"/>
  <c r="E64" i="9"/>
  <c r="E34" i="9" s="1"/>
  <c r="D64" i="9"/>
  <c r="D34" i="9" s="1"/>
  <c r="E63" i="9"/>
  <c r="E35" i="9" s="1"/>
  <c r="D63" i="9"/>
  <c r="D35" i="9" s="1"/>
  <c r="G37" i="9"/>
  <c r="G40" i="9" s="1"/>
  <c r="G43" i="9" s="1"/>
  <c r="G46" i="9" s="1"/>
  <c r="H34" i="9" l="1"/>
  <c r="F56" i="9"/>
  <c r="F57" i="9"/>
  <c r="F55" i="9"/>
  <c r="D57" i="9"/>
  <c r="H36" i="9"/>
  <c r="F12" i="9" s="1"/>
  <c r="E39" i="9"/>
  <c r="E42" i="9" s="1"/>
  <c r="E45" i="9" s="1"/>
  <c r="E48" i="9" s="1"/>
  <c r="D42" i="9"/>
  <c r="D38" i="9"/>
  <c r="H35" i="9"/>
  <c r="E12" i="9" s="1"/>
  <c r="D56" i="9"/>
  <c r="E38" i="9"/>
  <c r="E41" i="9" s="1"/>
  <c r="E44" i="9" s="1"/>
  <c r="E47" i="9" s="1"/>
  <c r="E56" i="9"/>
  <c r="E37" i="9"/>
  <c r="E40" i="9" s="1"/>
  <c r="E43" i="9" s="1"/>
  <c r="E46" i="9" s="1"/>
  <c r="E55" i="9"/>
  <c r="D55" i="9"/>
  <c r="D37" i="9"/>
  <c r="H57" i="9" l="1"/>
  <c r="F26" i="9" s="1"/>
  <c r="H39" i="9"/>
  <c r="F13" i="9" s="1"/>
  <c r="H55" i="9"/>
  <c r="C26" i="9" s="1"/>
  <c r="C12" i="9"/>
  <c r="H56" i="9"/>
  <c r="E26" i="9" s="1"/>
  <c r="D40" i="9"/>
  <c r="H37" i="9"/>
  <c r="H38" i="9"/>
  <c r="D41" i="9"/>
  <c r="H42" i="9"/>
  <c r="D45" i="9"/>
  <c r="E13" i="9" l="1"/>
  <c r="F14" i="9"/>
  <c r="C13" i="9"/>
  <c r="D48" i="9"/>
  <c r="H48" i="9" s="1"/>
  <c r="F16" i="9" s="1"/>
  <c r="H45" i="9"/>
  <c r="H41" i="9"/>
  <c r="D44" i="9"/>
  <c r="H40" i="9"/>
  <c r="D43" i="9"/>
  <c r="C14" i="9" l="1"/>
  <c r="E14" i="9"/>
  <c r="F15" i="9"/>
  <c r="H44" i="9"/>
  <c r="D47" i="9"/>
  <c r="H47" i="9" s="1"/>
  <c r="E16" i="9" s="1"/>
  <c r="H43" i="9"/>
  <c r="D46" i="9"/>
  <c r="H46" i="9" s="1"/>
  <c r="C16" i="9" s="1"/>
  <c r="C15" i="9" l="1"/>
  <c r="E15" i="9"/>
  <c r="H57" i="11" l="1"/>
  <c r="H19" i="11"/>
  <c r="H75" i="11"/>
  <c r="H74" i="11"/>
  <c r="H73" i="11"/>
  <c r="H72" i="11"/>
  <c r="H70" i="11"/>
  <c r="H68" i="11"/>
  <c r="H56" i="11"/>
  <c r="H55" i="11"/>
  <c r="H53" i="11"/>
  <c r="H51" i="11"/>
  <c r="H37" i="11"/>
  <c r="H36" i="11"/>
  <c r="H35" i="11"/>
  <c r="H34" i="11"/>
  <c r="H18" i="11"/>
  <c r="H17" i="11"/>
  <c r="F27" i="8"/>
  <c r="E27" i="8"/>
  <c r="F26" i="8"/>
  <c r="E26" i="8"/>
  <c r="G75" i="11"/>
  <c r="G74" i="11"/>
  <c r="G57" i="11"/>
  <c r="G56" i="11"/>
  <c r="G73" i="11" s="1"/>
  <c r="G55" i="11"/>
  <c r="G72" i="11" s="1"/>
  <c r="G53" i="11"/>
  <c r="G70" i="11" s="1"/>
  <c r="G51" i="11"/>
  <c r="G68" i="11" s="1"/>
  <c r="C75" i="11"/>
  <c r="C74" i="11"/>
  <c r="C73" i="11"/>
  <c r="C72" i="11"/>
  <c r="C70" i="11"/>
  <c r="C68" i="11"/>
  <c r="C57" i="11"/>
  <c r="C56" i="11"/>
  <c r="C55" i="11"/>
  <c r="C53" i="11"/>
  <c r="C51" i="11"/>
  <c r="F75" i="11"/>
  <c r="E75" i="11"/>
  <c r="F74" i="11"/>
  <c r="E74" i="11"/>
  <c r="F57" i="11"/>
  <c r="F56" i="11"/>
  <c r="F73" i="11" s="1"/>
  <c r="E56" i="11"/>
  <c r="E73" i="11" s="1"/>
  <c r="F55" i="11"/>
  <c r="F72" i="11" s="1"/>
  <c r="E55" i="11"/>
  <c r="E72" i="11" s="1"/>
  <c r="F53" i="11"/>
  <c r="F70" i="11" s="1"/>
  <c r="E53" i="11"/>
  <c r="E70" i="11" s="1"/>
  <c r="F51" i="11"/>
  <c r="F68" i="11" s="1"/>
  <c r="E51" i="11"/>
  <c r="E68" i="11" s="1"/>
  <c r="G18" i="11"/>
  <c r="F37" i="11"/>
  <c r="F36" i="11"/>
  <c r="F19" i="11"/>
  <c r="F18" i="11"/>
  <c r="F35" i="11" s="1"/>
  <c r="F17" i="11"/>
  <c r="F34" i="11" s="1"/>
  <c r="F15" i="11"/>
  <c r="F32" i="11" s="1"/>
  <c r="F13" i="11"/>
  <c r="F30" i="11" s="1"/>
  <c r="E37" i="11"/>
  <c r="E36" i="11"/>
  <c r="E18" i="11"/>
  <c r="E17" i="11"/>
  <c r="E15" i="11"/>
  <c r="E32" i="11" s="1"/>
  <c r="E13" i="11"/>
  <c r="E30" i="11" s="1"/>
  <c r="G44" i="2"/>
  <c r="F44" i="2"/>
  <c r="C44" i="2"/>
  <c r="G54" i="2"/>
  <c r="F54" i="2"/>
  <c r="G53" i="2"/>
  <c r="F53" i="2"/>
  <c r="C54" i="2"/>
  <c r="G37" i="11" s="1"/>
  <c r="C53" i="2"/>
  <c r="G17" i="11" s="1"/>
  <c r="G34" i="11" s="1"/>
  <c r="F28" i="14"/>
  <c r="F27" i="14"/>
  <c r="F26" i="14"/>
  <c r="F25" i="14"/>
  <c r="F24" i="14"/>
  <c r="L28" i="11" l="1"/>
  <c r="L66" i="11"/>
  <c r="L73" i="11" s="1"/>
  <c r="L68" i="11"/>
  <c r="L77" i="11" s="1"/>
  <c r="C57" i="15" s="1"/>
  <c r="L74" i="11"/>
  <c r="L70" i="11"/>
  <c r="G19" i="11"/>
  <c r="G36" i="11"/>
  <c r="G13" i="11"/>
  <c r="G30" i="11" s="1"/>
  <c r="G15" i="11"/>
  <c r="G32" i="11" s="1"/>
  <c r="E35" i="11"/>
  <c r="G35" i="11"/>
  <c r="E34" i="11"/>
  <c r="L72" i="11" l="1"/>
  <c r="L75" i="11"/>
  <c r="L79" i="11" s="1"/>
  <c r="H12" i="15"/>
  <c r="H45" i="15"/>
  <c r="H19" i="15"/>
  <c r="H52" i="15"/>
  <c r="H13" i="15"/>
  <c r="H46" i="15"/>
  <c r="C67" i="13"/>
  <c r="C69" i="13" s="1"/>
  <c r="C73" i="13" s="1"/>
  <c r="C57" i="13"/>
  <c r="C56" i="13"/>
  <c r="C55" i="13"/>
  <c r="C54" i="13"/>
  <c r="F13" i="8"/>
  <c r="E13" i="8"/>
  <c r="F11" i="8"/>
  <c r="E11" i="8"/>
  <c r="F17" i="8"/>
  <c r="E17" i="8"/>
  <c r="F16" i="8"/>
  <c r="E16" i="8"/>
  <c r="F15" i="8"/>
  <c r="E15" i="8"/>
  <c r="C27" i="8"/>
  <c r="C26" i="8"/>
  <c r="C17" i="8"/>
  <c r="C16" i="8"/>
  <c r="C15" i="8"/>
  <c r="F43" i="7"/>
  <c r="E43" i="7"/>
  <c r="C43" i="7"/>
  <c r="L78" i="11" l="1"/>
  <c r="L80" i="11"/>
  <c r="D57" i="15"/>
  <c r="O57" i="15" s="1"/>
  <c r="N57" i="15"/>
  <c r="F22" i="17"/>
  <c r="E22" i="17"/>
  <c r="D22" i="17"/>
  <c r="E30" i="16"/>
  <c r="E23" i="16"/>
  <c r="C58" i="13"/>
  <c r="C38" i="2"/>
  <c r="F38" i="7"/>
  <c r="E38" i="7"/>
  <c r="C38" i="7"/>
  <c r="C52" i="7" s="1"/>
  <c r="F46" i="7"/>
  <c r="E46" i="7"/>
  <c r="C46" i="7"/>
  <c r="C54" i="7" s="1"/>
  <c r="F25" i="8"/>
  <c r="L25" i="2" s="1"/>
  <c r="E25" i="8"/>
  <c r="K25" i="2" s="1"/>
  <c r="F24" i="8"/>
  <c r="L24" i="2" s="1"/>
  <c r="E24" i="8"/>
  <c r="K24" i="2" s="1"/>
  <c r="F22" i="8"/>
  <c r="L22" i="2" s="1"/>
  <c r="E22" i="8"/>
  <c r="K22" i="2" s="1"/>
  <c r="F20" i="8"/>
  <c r="L20" i="2" s="1"/>
  <c r="E20" i="8"/>
  <c r="K20" i="2" s="1"/>
  <c r="C22" i="8"/>
  <c r="H22" i="2" s="1"/>
  <c r="H32" i="11" s="1"/>
  <c r="C20" i="8"/>
  <c r="H20" i="2" s="1"/>
  <c r="H30" i="11" s="1"/>
  <c r="G48" i="2"/>
  <c r="F48" i="2"/>
  <c r="G47" i="2"/>
  <c r="F47" i="2"/>
  <c r="G46" i="2"/>
  <c r="F46" i="2"/>
  <c r="G45" i="2"/>
  <c r="F45" i="2"/>
  <c r="G43" i="2"/>
  <c r="F43" i="2"/>
  <c r="G42" i="2"/>
  <c r="F42" i="2"/>
  <c r="G41" i="2"/>
  <c r="F41" i="2"/>
  <c r="G40" i="2"/>
  <c r="F40" i="2"/>
  <c r="G39" i="2"/>
  <c r="F39" i="2"/>
  <c r="G38" i="2"/>
  <c r="F38" i="2"/>
  <c r="G37" i="2"/>
  <c r="F37" i="2"/>
  <c r="G36" i="2"/>
  <c r="F36" i="2"/>
  <c r="G35" i="2"/>
  <c r="F35" i="2"/>
  <c r="G34" i="2"/>
  <c r="F34" i="2"/>
  <c r="G33" i="2"/>
  <c r="F33" i="2"/>
  <c r="G32" i="2"/>
  <c r="F32" i="2"/>
  <c r="C48" i="2"/>
  <c r="C47" i="2"/>
  <c r="C46" i="2"/>
  <c r="C45" i="2"/>
  <c r="C43" i="2"/>
  <c r="C42" i="2"/>
  <c r="J66" i="11" s="1"/>
  <c r="C41" i="2"/>
  <c r="C39" i="2"/>
  <c r="C33" i="2"/>
  <c r="C32" i="2"/>
  <c r="C35" i="2"/>
  <c r="C34" i="2"/>
  <c r="L27" i="2"/>
  <c r="K27" i="2"/>
  <c r="L26" i="2"/>
  <c r="K26" i="2"/>
  <c r="L17" i="2"/>
  <c r="K17" i="2"/>
  <c r="L16" i="2"/>
  <c r="K16" i="2"/>
  <c r="L15" i="2"/>
  <c r="K15" i="2"/>
  <c r="L13" i="2"/>
  <c r="K13" i="2"/>
  <c r="L11" i="2"/>
  <c r="K11" i="2"/>
  <c r="H27" i="2"/>
  <c r="H26" i="2"/>
  <c r="H25" i="2"/>
  <c r="H24" i="2"/>
  <c r="H17" i="2"/>
  <c r="H16" i="2"/>
  <c r="H15" i="2"/>
  <c r="H13" i="2"/>
  <c r="H15" i="11" s="1"/>
  <c r="H11" i="2"/>
  <c r="H13" i="11" s="1"/>
  <c r="P57" i="15" l="1"/>
  <c r="T57" i="15" s="1"/>
  <c r="U57" i="15" s="1"/>
  <c r="E57" i="15"/>
  <c r="I57" i="15" s="1"/>
  <c r="J57" i="15" s="1"/>
  <c r="F55" i="15"/>
  <c r="Q55" i="15" s="1"/>
  <c r="F22" i="15"/>
  <c r="Q22" i="15" s="1"/>
  <c r="G31" i="13"/>
  <c r="H31" i="13" s="1"/>
  <c r="G30" i="13"/>
  <c r="G55" i="15"/>
  <c r="G22" i="15"/>
  <c r="R22" i="15" s="1"/>
  <c r="R31" i="15" s="1"/>
  <c r="F72" i="17"/>
  <c r="E72" i="17"/>
  <c r="D72" i="17"/>
  <c r="F47" i="17"/>
  <c r="E47" i="17"/>
  <c r="D47" i="17"/>
  <c r="M28" i="11"/>
  <c r="M66" i="11"/>
  <c r="K28" i="11"/>
  <c r="K66" i="11"/>
  <c r="K11" i="11"/>
  <c r="K49" i="11"/>
  <c r="K57" i="11" s="1"/>
  <c r="L11" i="11"/>
  <c r="L49" i="11"/>
  <c r="L57" i="11" s="1"/>
  <c r="I11" i="11"/>
  <c r="I49" i="11"/>
  <c r="I57" i="11" s="1"/>
  <c r="P11" i="11"/>
  <c r="P49" i="11"/>
  <c r="P57" i="11" s="1"/>
  <c r="O11" i="11"/>
  <c r="O49" i="11"/>
  <c r="O57" i="11" s="1"/>
  <c r="N28" i="11"/>
  <c r="N32" i="11" s="1"/>
  <c r="N40" i="11" s="1"/>
  <c r="N66" i="11"/>
  <c r="P28" i="11"/>
  <c r="P66" i="11"/>
  <c r="I28" i="11"/>
  <c r="I66" i="11"/>
  <c r="O28" i="11"/>
  <c r="O36" i="11" s="1"/>
  <c r="O66" i="11"/>
  <c r="J11" i="11"/>
  <c r="J17" i="11" s="1"/>
  <c r="J49" i="11"/>
  <c r="J57" i="11" s="1"/>
  <c r="J73" i="11"/>
  <c r="J70" i="11"/>
  <c r="J74" i="11"/>
  <c r="J68" i="11"/>
  <c r="J77" i="11" s="1"/>
  <c r="C55" i="15" s="1"/>
  <c r="J72" i="11"/>
  <c r="J75" i="11"/>
  <c r="N30" i="11"/>
  <c r="N39" i="11" s="1"/>
  <c r="N34" i="11"/>
  <c r="N37" i="11"/>
  <c r="O32" i="11"/>
  <c r="O40" i="11" s="1"/>
  <c r="O34" i="11"/>
  <c r="O35" i="11"/>
  <c r="I18" i="11"/>
  <c r="I13" i="11"/>
  <c r="I21" i="11" s="1"/>
  <c r="I17" i="11"/>
  <c r="I15" i="11"/>
  <c r="I22" i="11" s="1"/>
  <c r="J15" i="11"/>
  <c r="J22" i="11" s="1"/>
  <c r="J18" i="11"/>
  <c r="P17" i="11"/>
  <c r="P15" i="11"/>
  <c r="P22" i="11" s="1"/>
  <c r="P13" i="11"/>
  <c r="P21" i="11" s="1"/>
  <c r="P18" i="11"/>
  <c r="I36" i="11"/>
  <c r="I37" i="11"/>
  <c r="I32" i="11"/>
  <c r="I40" i="11" s="1"/>
  <c r="I34" i="11"/>
  <c r="I30" i="11"/>
  <c r="I39" i="11" s="1"/>
  <c r="I35" i="11"/>
  <c r="J28" i="11"/>
  <c r="L34" i="11"/>
  <c r="L36" i="11"/>
  <c r="L32" i="11"/>
  <c r="L40" i="11" s="1"/>
  <c r="L30" i="11"/>
  <c r="L39" i="11" s="1"/>
  <c r="L37" i="11"/>
  <c r="L35" i="11"/>
  <c r="M30" i="11"/>
  <c r="M39" i="11" s="1"/>
  <c r="M34" i="11"/>
  <c r="M35" i="11"/>
  <c r="M32" i="11"/>
  <c r="M40" i="11" s="1"/>
  <c r="M36" i="11"/>
  <c r="M37" i="11"/>
  <c r="G35" i="13"/>
  <c r="H35" i="13" s="1"/>
  <c r="G29" i="13"/>
  <c r="G33" i="13"/>
  <c r="H33" i="13" s="1"/>
  <c r="H30" i="13"/>
  <c r="G32" i="13"/>
  <c r="H32" i="13" s="1"/>
  <c r="G34" i="13"/>
  <c r="H34" i="13" s="1"/>
  <c r="C37" i="2"/>
  <c r="C36" i="2"/>
  <c r="G27" i="2"/>
  <c r="F27" i="2"/>
  <c r="G26" i="2"/>
  <c r="F26" i="2"/>
  <c r="G25" i="2"/>
  <c r="F25" i="2"/>
  <c r="G24" i="2"/>
  <c r="F24" i="2"/>
  <c r="G22" i="2"/>
  <c r="F22" i="2"/>
  <c r="G20" i="2"/>
  <c r="F20" i="2"/>
  <c r="G17" i="2"/>
  <c r="F17" i="2"/>
  <c r="G16" i="2"/>
  <c r="F16" i="2"/>
  <c r="G15" i="2"/>
  <c r="F15" i="2"/>
  <c r="G13" i="2"/>
  <c r="F13" i="2"/>
  <c r="G11" i="2"/>
  <c r="F11" i="2"/>
  <c r="C27" i="2"/>
  <c r="C37" i="11" s="1"/>
  <c r="P37" i="11" s="1"/>
  <c r="C26" i="2"/>
  <c r="C36" i="11" s="1"/>
  <c r="P36" i="11" s="1"/>
  <c r="C25" i="2"/>
  <c r="C35" i="11" s="1"/>
  <c r="P35" i="11" s="1"/>
  <c r="C24" i="2"/>
  <c r="C34" i="11" s="1"/>
  <c r="P34" i="11" s="1"/>
  <c r="C22" i="2"/>
  <c r="C32" i="11" s="1"/>
  <c r="P32" i="11" s="1"/>
  <c r="P40" i="11" s="1"/>
  <c r="C20" i="2"/>
  <c r="C30" i="11" s="1"/>
  <c r="P30" i="11" s="1"/>
  <c r="P39" i="11" s="1"/>
  <c r="C17" i="2"/>
  <c r="C19" i="11" s="1"/>
  <c r="C16" i="2"/>
  <c r="C18" i="11" s="1"/>
  <c r="O18" i="11" s="1"/>
  <c r="C15" i="2"/>
  <c r="C17" i="11" s="1"/>
  <c r="K17" i="11" s="1"/>
  <c r="C13" i="2"/>
  <c r="C15" i="11" s="1"/>
  <c r="K15" i="11" s="1"/>
  <c r="K22" i="11" s="1"/>
  <c r="C11" i="2"/>
  <c r="C13" i="11" s="1"/>
  <c r="K13" i="11" s="1"/>
  <c r="K21" i="11" s="1"/>
  <c r="C7" i="2"/>
  <c r="S22" i="15" l="1"/>
  <c r="Q31" i="15"/>
  <c r="S31" i="15" s="1"/>
  <c r="G64" i="15"/>
  <c r="R55" i="15"/>
  <c r="R64" i="15" s="1"/>
  <c r="Q64" i="15"/>
  <c r="N55" i="15"/>
  <c r="C40" i="17"/>
  <c r="F15" i="17"/>
  <c r="E15" i="17"/>
  <c r="D15" i="17"/>
  <c r="C65" i="17"/>
  <c r="D24" i="16"/>
  <c r="G31" i="15"/>
  <c r="C39" i="17"/>
  <c r="F14" i="17"/>
  <c r="E14" i="17"/>
  <c r="D14" i="17"/>
  <c r="C64" i="17"/>
  <c r="F31" i="15"/>
  <c r="C24" i="16"/>
  <c r="H22" i="15"/>
  <c r="F16" i="17"/>
  <c r="C41" i="17"/>
  <c r="E16" i="17"/>
  <c r="D16" i="17"/>
  <c r="C66" i="17"/>
  <c r="F64" i="15"/>
  <c r="H64" i="15" s="1"/>
  <c r="H55" i="15"/>
  <c r="O72" i="11"/>
  <c r="O74" i="11"/>
  <c r="O73" i="11"/>
  <c r="O68" i="11"/>
  <c r="O77" i="11" s="1"/>
  <c r="C60" i="15" s="1"/>
  <c r="O70" i="11"/>
  <c r="O75" i="11"/>
  <c r="O55" i="11"/>
  <c r="O51" i="11"/>
  <c r="O59" i="11" s="1"/>
  <c r="O53" i="11"/>
  <c r="O60" i="11" s="1"/>
  <c r="O56" i="11"/>
  <c r="K56" i="11"/>
  <c r="K53" i="11"/>
  <c r="K60" i="11" s="1"/>
  <c r="K51" i="11"/>
  <c r="K59" i="11" s="1"/>
  <c r="K55" i="11"/>
  <c r="M11" i="11"/>
  <c r="M18" i="11" s="1"/>
  <c r="M49" i="11"/>
  <c r="M57" i="11" s="1"/>
  <c r="J79" i="11"/>
  <c r="I75" i="11"/>
  <c r="I72" i="11"/>
  <c r="I68" i="11"/>
  <c r="I77" i="11" s="1"/>
  <c r="C54" i="15" s="1"/>
  <c r="I74" i="11"/>
  <c r="I73" i="11"/>
  <c r="I70" i="11"/>
  <c r="P56" i="11"/>
  <c r="P53" i="11"/>
  <c r="P60" i="11" s="1"/>
  <c r="P55" i="11"/>
  <c r="P51" i="11"/>
  <c r="P59" i="11" s="1"/>
  <c r="C52" i="15" s="1"/>
  <c r="N52" i="15" s="1"/>
  <c r="K73" i="11"/>
  <c r="K75" i="11"/>
  <c r="K70" i="11"/>
  <c r="K68" i="11"/>
  <c r="K77" i="11" s="1"/>
  <c r="C56" i="15" s="1"/>
  <c r="K72" i="11"/>
  <c r="K74" i="11"/>
  <c r="N11" i="11"/>
  <c r="N49" i="11"/>
  <c r="N57" i="11" s="1"/>
  <c r="J13" i="11"/>
  <c r="J21" i="11" s="1"/>
  <c r="C13" i="15" s="1"/>
  <c r="O37" i="11"/>
  <c r="O41" i="11" s="1"/>
  <c r="D27" i="15" s="1"/>
  <c r="O27" i="15" s="1"/>
  <c r="N35" i="11"/>
  <c r="N41" i="11" s="1"/>
  <c r="D26" i="15" s="1"/>
  <c r="O26" i="15" s="1"/>
  <c r="P74" i="11"/>
  <c r="P75" i="11"/>
  <c r="P68" i="11"/>
  <c r="P77" i="11" s="1"/>
  <c r="C61" i="15" s="1"/>
  <c r="P70" i="11"/>
  <c r="P72" i="11"/>
  <c r="P73" i="11"/>
  <c r="I55" i="11"/>
  <c r="I56" i="11"/>
  <c r="I53" i="11"/>
  <c r="I60" i="11" s="1"/>
  <c r="I51" i="11"/>
  <c r="I59" i="11" s="1"/>
  <c r="M70" i="11"/>
  <c r="M74" i="11"/>
  <c r="M72" i="11"/>
  <c r="M75" i="11"/>
  <c r="M68" i="11"/>
  <c r="M77" i="11" s="1"/>
  <c r="C58" i="15" s="1"/>
  <c r="M73" i="11"/>
  <c r="J78" i="11"/>
  <c r="O30" i="11"/>
  <c r="O39" i="11" s="1"/>
  <c r="C27" i="15" s="1"/>
  <c r="N36" i="11"/>
  <c r="J56" i="11"/>
  <c r="J53" i="11"/>
  <c r="J60" i="11" s="1"/>
  <c r="J51" i="11"/>
  <c r="J59" i="11" s="1"/>
  <c r="C46" i="15" s="1"/>
  <c r="N46" i="15" s="1"/>
  <c r="J55" i="11"/>
  <c r="N70" i="11"/>
  <c r="N75" i="11"/>
  <c r="N74" i="11"/>
  <c r="N73" i="11"/>
  <c r="N72" i="11"/>
  <c r="N68" i="11"/>
  <c r="N77" i="11" s="1"/>
  <c r="C59" i="15" s="1"/>
  <c r="L53" i="11"/>
  <c r="L60" i="11" s="1"/>
  <c r="L56" i="11"/>
  <c r="L51" i="11"/>
  <c r="L59" i="11" s="1"/>
  <c r="L55" i="11"/>
  <c r="P23" i="11"/>
  <c r="D19" i="15" s="1"/>
  <c r="L41" i="11"/>
  <c r="D24" i="15" s="1"/>
  <c r="O24" i="15" s="1"/>
  <c r="P41" i="11"/>
  <c r="D28" i="15" s="1"/>
  <c r="O28" i="15" s="1"/>
  <c r="I41" i="11"/>
  <c r="D21" i="15" s="1"/>
  <c r="O21" i="15" s="1"/>
  <c r="M41" i="11"/>
  <c r="D25" i="15" s="1"/>
  <c r="O25" i="15" s="1"/>
  <c r="J23" i="11"/>
  <c r="D13" i="15" s="1"/>
  <c r="I23" i="11"/>
  <c r="D12" i="15" s="1"/>
  <c r="C24" i="15"/>
  <c r="C12" i="15"/>
  <c r="C26" i="15"/>
  <c r="C28" i="15"/>
  <c r="C21" i="15"/>
  <c r="C25" i="15"/>
  <c r="C19" i="15"/>
  <c r="K18" i="11"/>
  <c r="L15" i="11"/>
  <c r="L22" i="11" s="1"/>
  <c r="O17" i="11"/>
  <c r="L18" i="11"/>
  <c r="O13" i="11"/>
  <c r="O21" i="11" s="1"/>
  <c r="L17" i="11"/>
  <c r="L13" i="11"/>
  <c r="L21" i="11" s="1"/>
  <c r="O15" i="11"/>
  <c r="O22" i="11" s="1"/>
  <c r="M15" i="11"/>
  <c r="M22" i="11" s="1"/>
  <c r="N17" i="11"/>
  <c r="N15" i="11"/>
  <c r="N22" i="11" s="1"/>
  <c r="N13" i="11"/>
  <c r="N21" i="11" s="1"/>
  <c r="N18" i="11"/>
  <c r="J36" i="11"/>
  <c r="J30" i="11"/>
  <c r="J39" i="11" s="1"/>
  <c r="J32" i="11"/>
  <c r="J40" i="11" s="1"/>
  <c r="J37" i="11"/>
  <c r="J35" i="11"/>
  <c r="J34" i="11"/>
  <c r="K36" i="11"/>
  <c r="K35" i="11"/>
  <c r="K34" i="11"/>
  <c r="K30" i="11"/>
  <c r="K39" i="11" s="1"/>
  <c r="K32" i="11"/>
  <c r="K40" i="11" s="1"/>
  <c r="K37" i="11"/>
  <c r="O34" i="15" l="1"/>
  <c r="P34" i="15" s="1"/>
  <c r="P25" i="15"/>
  <c r="O36" i="15"/>
  <c r="P36" i="15" s="1"/>
  <c r="P27" i="15"/>
  <c r="P21" i="15"/>
  <c r="O30" i="15"/>
  <c r="P30" i="15" s="1"/>
  <c r="T30" i="15" s="1"/>
  <c r="U30" i="15" s="1"/>
  <c r="O35" i="15"/>
  <c r="P35" i="15" s="1"/>
  <c r="P26" i="15"/>
  <c r="O37" i="15"/>
  <c r="P37" i="15" s="1"/>
  <c r="T37" i="15" s="1"/>
  <c r="P28" i="15"/>
  <c r="P24" i="15"/>
  <c r="O33" i="15"/>
  <c r="P33" i="15" s="1"/>
  <c r="S64" i="15"/>
  <c r="S55" i="15"/>
  <c r="E24" i="16"/>
  <c r="E62" i="16"/>
  <c r="J80" i="11"/>
  <c r="D55" i="15"/>
  <c r="N59" i="15"/>
  <c r="N56" i="15"/>
  <c r="N58" i="15"/>
  <c r="N60" i="15"/>
  <c r="N54" i="15"/>
  <c r="N61" i="15"/>
  <c r="N64" i="15"/>
  <c r="H31" i="15"/>
  <c r="F49" i="15"/>
  <c r="Q49" i="15" s="1"/>
  <c r="F16" i="15"/>
  <c r="Q16" i="15" s="1"/>
  <c r="E12" i="17"/>
  <c r="C37" i="17"/>
  <c r="D12" i="17"/>
  <c r="F12" i="17"/>
  <c r="C62" i="17"/>
  <c r="G16" i="15"/>
  <c r="R16" i="15" s="1"/>
  <c r="G49" i="15"/>
  <c r="C38" i="17"/>
  <c r="F13" i="17"/>
  <c r="E13" i="17"/>
  <c r="C63" i="17"/>
  <c r="D13" i="17"/>
  <c r="F66" i="17"/>
  <c r="E66" i="17"/>
  <c r="D66" i="17"/>
  <c r="D39" i="17"/>
  <c r="F39" i="17"/>
  <c r="E39" i="17"/>
  <c r="F51" i="15"/>
  <c r="Q51" i="15" s="1"/>
  <c r="F18" i="15"/>
  <c r="Q18" i="15" s="1"/>
  <c r="G51" i="15"/>
  <c r="G18" i="15"/>
  <c r="R18" i="15" s="1"/>
  <c r="F41" i="17"/>
  <c r="E41" i="17"/>
  <c r="D41" i="17"/>
  <c r="F65" i="17"/>
  <c r="E65" i="17"/>
  <c r="D65" i="17"/>
  <c r="F50" i="15"/>
  <c r="Q50" i="15" s="1"/>
  <c r="F17" i="15"/>
  <c r="Q17" i="15" s="1"/>
  <c r="G17" i="15"/>
  <c r="R17" i="15" s="1"/>
  <c r="G50" i="15"/>
  <c r="D64" i="17"/>
  <c r="E64" i="17"/>
  <c r="F64" i="17"/>
  <c r="F40" i="17"/>
  <c r="E40" i="17"/>
  <c r="D40" i="17"/>
  <c r="K78" i="11"/>
  <c r="P24" i="11"/>
  <c r="M79" i="11"/>
  <c r="O78" i="11"/>
  <c r="I78" i="11"/>
  <c r="P79" i="11"/>
  <c r="M13" i="11"/>
  <c r="M21" i="11" s="1"/>
  <c r="C16" i="15" s="1"/>
  <c r="M17" i="11"/>
  <c r="K61" i="11"/>
  <c r="K62" i="11" s="1"/>
  <c r="O61" i="11"/>
  <c r="O62" i="11" s="1"/>
  <c r="L61" i="11"/>
  <c r="L62" i="11" s="1"/>
  <c r="N42" i="11"/>
  <c r="J61" i="11"/>
  <c r="C64" i="15"/>
  <c r="I61" i="11"/>
  <c r="D45" i="15" s="1"/>
  <c r="N79" i="11"/>
  <c r="C70" i="15"/>
  <c r="M78" i="11"/>
  <c r="P78" i="11"/>
  <c r="I79" i="11"/>
  <c r="C45" i="15"/>
  <c r="N45" i="15" s="1"/>
  <c r="P61" i="11"/>
  <c r="E24" i="15"/>
  <c r="I24" i="15" s="1"/>
  <c r="J24" i="15" s="1"/>
  <c r="N78" i="11"/>
  <c r="K79" i="11"/>
  <c r="O79" i="11"/>
  <c r="N55" i="11"/>
  <c r="N56" i="11"/>
  <c r="N53" i="11"/>
  <c r="N60" i="11" s="1"/>
  <c r="N51" i="11"/>
  <c r="N59" i="11" s="1"/>
  <c r="C50" i="15" s="1"/>
  <c r="L42" i="11"/>
  <c r="M56" i="11"/>
  <c r="M51" i="11"/>
  <c r="M59" i="11" s="1"/>
  <c r="C49" i="15" s="1"/>
  <c r="M53" i="11"/>
  <c r="M60" i="11" s="1"/>
  <c r="M55" i="11"/>
  <c r="P42" i="11"/>
  <c r="D37" i="15"/>
  <c r="E26" i="15"/>
  <c r="I26" i="15" s="1"/>
  <c r="J26" i="15" s="1"/>
  <c r="M42" i="11"/>
  <c r="D30" i="15"/>
  <c r="D10" i="16"/>
  <c r="E25" i="15"/>
  <c r="I25" i="15" s="1"/>
  <c r="J25" i="15" s="1"/>
  <c r="E21" i="15"/>
  <c r="I21" i="15" s="1"/>
  <c r="J21" i="15" s="1"/>
  <c r="D17" i="16"/>
  <c r="D43" i="16" s="1"/>
  <c r="E27" i="15"/>
  <c r="I27" i="15" s="1"/>
  <c r="J27" i="15" s="1"/>
  <c r="E28" i="15"/>
  <c r="I28" i="15" s="1"/>
  <c r="K28" i="15" s="1"/>
  <c r="C30" i="15"/>
  <c r="C37" i="15"/>
  <c r="C17" i="16"/>
  <c r="C43" i="16" s="1"/>
  <c r="C10" i="16"/>
  <c r="E13" i="15"/>
  <c r="E12" i="15"/>
  <c r="E19" i="15"/>
  <c r="J41" i="11"/>
  <c r="D22" i="15" s="1"/>
  <c r="I24" i="11"/>
  <c r="J24" i="11"/>
  <c r="O42" i="11"/>
  <c r="I42" i="11"/>
  <c r="K41" i="11"/>
  <c r="D23" i="15" s="1"/>
  <c r="O23" i="15" s="1"/>
  <c r="L23" i="11"/>
  <c r="D15" i="15" s="1"/>
  <c r="K23" i="11"/>
  <c r="D14" i="15" s="1"/>
  <c r="N23" i="11"/>
  <c r="D17" i="15" s="1"/>
  <c r="O23" i="11"/>
  <c r="D18" i="15" s="1"/>
  <c r="C47" i="15"/>
  <c r="C48" i="15"/>
  <c r="N48" i="15" s="1"/>
  <c r="C51" i="15"/>
  <c r="C14" i="15"/>
  <c r="C22" i="15"/>
  <c r="C17" i="15"/>
  <c r="C23" i="15"/>
  <c r="C15" i="15"/>
  <c r="C18" i="15"/>
  <c r="D67" i="16" l="1"/>
  <c r="T27" i="15"/>
  <c r="U27" i="15" s="1"/>
  <c r="D31" i="15"/>
  <c r="O22" i="15"/>
  <c r="D68" i="16"/>
  <c r="T28" i="15"/>
  <c r="V28" i="15" s="1"/>
  <c r="D65" i="16"/>
  <c r="T25" i="15"/>
  <c r="U25" i="15" s="1"/>
  <c r="D66" i="16"/>
  <c r="T26" i="15"/>
  <c r="U26" i="15" s="1"/>
  <c r="P23" i="15"/>
  <c r="O32" i="15"/>
  <c r="P32" i="15" s="1"/>
  <c r="T21" i="15"/>
  <c r="U21" i="15" s="1"/>
  <c r="D61" i="16"/>
  <c r="D64" i="16"/>
  <c r="T24" i="15"/>
  <c r="U24" i="15" s="1"/>
  <c r="U37" i="15"/>
  <c r="V37" i="15"/>
  <c r="O55" i="15"/>
  <c r="P55" i="15" s="1"/>
  <c r="T55" i="15" s="1"/>
  <c r="V55" i="15" s="1"/>
  <c r="E55" i="15"/>
  <c r="I55" i="15" s="1"/>
  <c r="K55" i="15" s="1"/>
  <c r="O80" i="11"/>
  <c r="D60" i="15"/>
  <c r="K80" i="11"/>
  <c r="D56" i="15"/>
  <c r="I80" i="11"/>
  <c r="D54" i="15"/>
  <c r="D63" i="15" s="1"/>
  <c r="P80" i="11"/>
  <c r="D61" i="15"/>
  <c r="N80" i="11"/>
  <c r="D59" i="15"/>
  <c r="M80" i="11"/>
  <c r="D58" i="15"/>
  <c r="N63" i="15"/>
  <c r="O45" i="15"/>
  <c r="N70" i="15"/>
  <c r="C67" i="15"/>
  <c r="N49" i="15"/>
  <c r="C69" i="15"/>
  <c r="N51" i="15"/>
  <c r="C68" i="15"/>
  <c r="N50" i="15"/>
  <c r="N66" i="15"/>
  <c r="C65" i="15"/>
  <c r="N47" i="15"/>
  <c r="Q36" i="15"/>
  <c r="S18" i="15"/>
  <c r="Q69" i="15"/>
  <c r="Q68" i="15"/>
  <c r="G68" i="15"/>
  <c r="R50" i="15"/>
  <c r="R68" i="15" s="1"/>
  <c r="S16" i="15"/>
  <c r="Q34" i="15"/>
  <c r="R35" i="15"/>
  <c r="G67" i="15"/>
  <c r="R49" i="15"/>
  <c r="R67" i="15" s="1"/>
  <c r="Q67" i="15"/>
  <c r="G69" i="15"/>
  <c r="R51" i="15"/>
  <c r="R69" i="15" s="1"/>
  <c r="S17" i="15"/>
  <c r="Q35" i="15"/>
  <c r="R36" i="15"/>
  <c r="R34" i="15"/>
  <c r="C29" i="16"/>
  <c r="F36" i="15"/>
  <c r="H18" i="15"/>
  <c r="F38" i="17"/>
  <c r="E38" i="17"/>
  <c r="D38" i="17"/>
  <c r="D28" i="16"/>
  <c r="G35" i="15"/>
  <c r="F69" i="15"/>
  <c r="H51" i="15"/>
  <c r="C28" i="16"/>
  <c r="F35" i="15"/>
  <c r="H17" i="15"/>
  <c r="G34" i="15"/>
  <c r="D27" i="16"/>
  <c r="F68" i="15"/>
  <c r="H50" i="15"/>
  <c r="F62" i="17"/>
  <c r="E62" i="17"/>
  <c r="D62" i="17"/>
  <c r="F37" i="17"/>
  <c r="E37" i="17"/>
  <c r="D37" i="17"/>
  <c r="G14" i="15"/>
  <c r="R14" i="15" s="1"/>
  <c r="G47" i="15"/>
  <c r="F48" i="15"/>
  <c r="Q48" i="15" s="1"/>
  <c r="F15" i="15"/>
  <c r="Q15" i="15" s="1"/>
  <c r="C27" i="16"/>
  <c r="F34" i="15"/>
  <c r="H16" i="15"/>
  <c r="G36" i="15"/>
  <c r="D29" i="16"/>
  <c r="G15" i="15"/>
  <c r="R15" i="15" s="1"/>
  <c r="G48" i="15"/>
  <c r="F47" i="15"/>
  <c r="Q47" i="15" s="1"/>
  <c r="F14" i="15"/>
  <c r="Q14" i="15" s="1"/>
  <c r="F63" i="17"/>
  <c r="E63" i="17"/>
  <c r="D63" i="17"/>
  <c r="F67" i="15"/>
  <c r="H49" i="15"/>
  <c r="M23" i="11"/>
  <c r="M24" i="11" s="1"/>
  <c r="E37" i="15"/>
  <c r="I37" i="15" s="1"/>
  <c r="K37" i="15" s="1"/>
  <c r="D47" i="15"/>
  <c r="D48" i="15"/>
  <c r="E48" i="15" s="1"/>
  <c r="D51" i="15"/>
  <c r="M61" i="11"/>
  <c r="M62" i="11" s="1"/>
  <c r="N61" i="11"/>
  <c r="N62" i="11" s="1"/>
  <c r="I62" i="11"/>
  <c r="C63" i="15"/>
  <c r="E45" i="15"/>
  <c r="I45" i="15" s="1"/>
  <c r="J45" i="15" s="1"/>
  <c r="J62" i="11"/>
  <c r="D46" i="15"/>
  <c r="O46" i="15" s="1"/>
  <c r="D52" i="15"/>
  <c r="O52" i="15" s="1"/>
  <c r="P62" i="11"/>
  <c r="J28" i="15"/>
  <c r="E30" i="15"/>
  <c r="I30" i="15" s="1"/>
  <c r="J30" i="15" s="1"/>
  <c r="E23" i="15"/>
  <c r="I23" i="15" s="1"/>
  <c r="J23" i="15" s="1"/>
  <c r="J42" i="11"/>
  <c r="D11" i="16"/>
  <c r="D37" i="16" s="1"/>
  <c r="E22" i="15"/>
  <c r="I22" i="15" s="1"/>
  <c r="K22" i="15" s="1"/>
  <c r="D33" i="15"/>
  <c r="D13" i="16"/>
  <c r="D15" i="16"/>
  <c r="D35" i="15"/>
  <c r="D36" i="15"/>
  <c r="D16" i="16"/>
  <c r="C66" i="15"/>
  <c r="D12" i="16"/>
  <c r="D32" i="15"/>
  <c r="C15" i="16"/>
  <c r="C35" i="15"/>
  <c r="C32" i="15"/>
  <c r="C16" i="16"/>
  <c r="C36" i="15"/>
  <c r="C14" i="16"/>
  <c r="C34" i="15"/>
  <c r="C13" i="16"/>
  <c r="C33" i="15"/>
  <c r="C31" i="15"/>
  <c r="E31" i="15" s="1"/>
  <c r="E17" i="16"/>
  <c r="I19" i="15"/>
  <c r="J19" i="15" s="1"/>
  <c r="E14" i="15"/>
  <c r="C12" i="16"/>
  <c r="I13" i="15"/>
  <c r="J13" i="15" s="1"/>
  <c r="C11" i="16"/>
  <c r="C37" i="16" s="1"/>
  <c r="E10" i="16"/>
  <c r="I12" i="15"/>
  <c r="J12" i="15" s="1"/>
  <c r="E15" i="15"/>
  <c r="E17" i="15"/>
  <c r="E18" i="15"/>
  <c r="O24" i="11"/>
  <c r="N24" i="11"/>
  <c r="K24" i="11"/>
  <c r="L24" i="11"/>
  <c r="K42" i="11"/>
  <c r="U28" i="15" l="1"/>
  <c r="D63" i="16"/>
  <c r="T23" i="15"/>
  <c r="U23" i="15" s="1"/>
  <c r="P22" i="15"/>
  <c r="O31" i="15"/>
  <c r="P31" i="15" s="1"/>
  <c r="T31" i="15" s="1"/>
  <c r="U55" i="15"/>
  <c r="J55" i="15"/>
  <c r="O58" i="15"/>
  <c r="P58" i="15" s="1"/>
  <c r="T58" i="15" s="1"/>
  <c r="U58" i="15" s="1"/>
  <c r="E58" i="15"/>
  <c r="I58" i="15" s="1"/>
  <c r="J58" i="15" s="1"/>
  <c r="O59" i="15"/>
  <c r="P59" i="15" s="1"/>
  <c r="T59" i="15" s="1"/>
  <c r="U59" i="15" s="1"/>
  <c r="E59" i="15"/>
  <c r="I59" i="15" s="1"/>
  <c r="J59" i="15" s="1"/>
  <c r="O61" i="15"/>
  <c r="P61" i="15" s="1"/>
  <c r="E61" i="15"/>
  <c r="O54" i="15"/>
  <c r="P54" i="15" s="1"/>
  <c r="T54" i="15" s="1"/>
  <c r="U54" i="15" s="1"/>
  <c r="E54" i="15"/>
  <c r="I54" i="15" s="1"/>
  <c r="J54" i="15" s="1"/>
  <c r="O56" i="15"/>
  <c r="P56" i="15" s="1"/>
  <c r="T56" i="15" s="1"/>
  <c r="U56" i="15" s="1"/>
  <c r="E56" i="15"/>
  <c r="I56" i="15" s="1"/>
  <c r="J56" i="15" s="1"/>
  <c r="O60" i="15"/>
  <c r="P60" i="15" s="1"/>
  <c r="T60" i="15" s="1"/>
  <c r="U60" i="15" s="1"/>
  <c r="E60" i="15"/>
  <c r="I60" i="15" s="1"/>
  <c r="J60" i="15" s="1"/>
  <c r="E63" i="15"/>
  <c r="I63" i="15" s="1"/>
  <c r="J63" i="15" s="1"/>
  <c r="D49" i="15"/>
  <c r="D67" i="15" s="1"/>
  <c r="E67" i="15" s="1"/>
  <c r="P52" i="15"/>
  <c r="T52" i="15" s="1"/>
  <c r="U52" i="15" s="1"/>
  <c r="O64" i="15"/>
  <c r="P64" i="15" s="1"/>
  <c r="P46" i="15"/>
  <c r="T46" i="15" s="1"/>
  <c r="U46" i="15" s="1"/>
  <c r="P45" i="15"/>
  <c r="T45" i="15" s="1"/>
  <c r="U45" i="15" s="1"/>
  <c r="D50" i="15"/>
  <c r="O50" i="15" s="1"/>
  <c r="O68" i="15" s="1"/>
  <c r="T61" i="15"/>
  <c r="V61" i="15" s="1"/>
  <c r="N69" i="15"/>
  <c r="D69" i="15"/>
  <c r="E69" i="15" s="1"/>
  <c r="O51" i="15"/>
  <c r="N67" i="15"/>
  <c r="N68" i="15"/>
  <c r="D66" i="15"/>
  <c r="E66" i="15" s="1"/>
  <c r="O48" i="15"/>
  <c r="D65" i="15"/>
  <c r="E65" i="15" s="1"/>
  <c r="O47" i="15"/>
  <c r="N65" i="15"/>
  <c r="D42" i="16"/>
  <c r="H67" i="15"/>
  <c r="H35" i="15"/>
  <c r="H69" i="15"/>
  <c r="S68" i="15"/>
  <c r="S50" i="15"/>
  <c r="D41" i="16"/>
  <c r="S35" i="15"/>
  <c r="Q66" i="15"/>
  <c r="E66" i="16"/>
  <c r="T17" i="15"/>
  <c r="U17" i="15" s="1"/>
  <c r="S69" i="15"/>
  <c r="E29" i="16"/>
  <c r="G66" i="15"/>
  <c r="R48" i="15"/>
  <c r="R66" i="15" s="1"/>
  <c r="R33" i="15"/>
  <c r="G65" i="15"/>
  <c r="R47" i="15"/>
  <c r="R65" i="15" s="1"/>
  <c r="S34" i="15"/>
  <c r="S51" i="15"/>
  <c r="R32" i="15"/>
  <c r="H68" i="15"/>
  <c r="E67" i="16"/>
  <c r="T18" i="15"/>
  <c r="U18" i="15" s="1"/>
  <c r="Q32" i="15"/>
  <c r="S14" i="15"/>
  <c r="E28" i="16"/>
  <c r="Q65" i="15"/>
  <c r="C40" i="16"/>
  <c r="S67" i="15"/>
  <c r="E65" i="16"/>
  <c r="T16" i="15"/>
  <c r="U16" i="15" s="1"/>
  <c r="Q33" i="15"/>
  <c r="S15" i="15"/>
  <c r="E27" i="16"/>
  <c r="S49" i="15"/>
  <c r="S36" i="15"/>
  <c r="C42" i="16"/>
  <c r="H34" i="15"/>
  <c r="F65" i="15"/>
  <c r="H47" i="15"/>
  <c r="G32" i="15"/>
  <c r="D25" i="16"/>
  <c r="D38" i="16" s="1"/>
  <c r="G33" i="15"/>
  <c r="D26" i="16"/>
  <c r="D39" i="16" s="1"/>
  <c r="C41" i="16"/>
  <c r="C26" i="16"/>
  <c r="C39" i="16" s="1"/>
  <c r="F33" i="15"/>
  <c r="H15" i="15"/>
  <c r="F66" i="15"/>
  <c r="H48" i="15"/>
  <c r="H36" i="15"/>
  <c r="C25" i="16"/>
  <c r="C38" i="16" s="1"/>
  <c r="F32" i="15"/>
  <c r="H14" i="15"/>
  <c r="E47" i="15"/>
  <c r="E49" i="15"/>
  <c r="I49" i="15" s="1"/>
  <c r="K49" i="15" s="1"/>
  <c r="D16" i="15"/>
  <c r="E16" i="15" s="1"/>
  <c r="E14" i="16" s="1"/>
  <c r="E51" i="15"/>
  <c r="I51" i="15" s="1"/>
  <c r="K51" i="15" s="1"/>
  <c r="E12" i="16"/>
  <c r="C77" i="16" s="1"/>
  <c r="D64" i="15"/>
  <c r="E64" i="15" s="1"/>
  <c r="E46" i="15"/>
  <c r="I46" i="15" s="1"/>
  <c r="J46" i="15" s="1"/>
  <c r="D70" i="15"/>
  <c r="E70" i="15" s="1"/>
  <c r="E52" i="15"/>
  <c r="I52" i="15" s="1"/>
  <c r="J52" i="15" s="1"/>
  <c r="J22" i="15"/>
  <c r="E32" i="15"/>
  <c r="E36" i="15"/>
  <c r="E11" i="16"/>
  <c r="C76" i="16" s="1"/>
  <c r="E33" i="15"/>
  <c r="J37" i="15"/>
  <c r="E35" i="15"/>
  <c r="I35" i="15" s="1"/>
  <c r="J35" i="15" s="1"/>
  <c r="I31" i="15"/>
  <c r="K31" i="15" s="1"/>
  <c r="C75" i="16"/>
  <c r="C87" i="16"/>
  <c r="E16" i="16"/>
  <c r="I18" i="15"/>
  <c r="K18" i="15" s="1"/>
  <c r="E15" i="16"/>
  <c r="I17" i="15"/>
  <c r="K17" i="15" s="1"/>
  <c r="E13" i="16"/>
  <c r="E43" i="16"/>
  <c r="C94" i="16"/>
  <c r="C82" i="16"/>
  <c r="O63" i="15" l="1"/>
  <c r="P63" i="15" s="1"/>
  <c r="T63" i="15" s="1"/>
  <c r="U63" i="15" s="1"/>
  <c r="U31" i="15"/>
  <c r="V31" i="15"/>
  <c r="D62" i="16"/>
  <c r="D69" i="16" s="1"/>
  <c r="T22" i="15"/>
  <c r="I67" i="15"/>
  <c r="J67" i="15" s="1"/>
  <c r="H65" i="15"/>
  <c r="I65" i="15" s="1"/>
  <c r="J65" i="15" s="1"/>
  <c r="K35" i="15"/>
  <c r="O65" i="15"/>
  <c r="P65" i="15" s="1"/>
  <c r="O69" i="15"/>
  <c r="P69" i="15" s="1"/>
  <c r="T69" i="15" s="1"/>
  <c r="U69" i="15" s="1"/>
  <c r="I61" i="15"/>
  <c r="K61" i="15" s="1"/>
  <c r="O70" i="15"/>
  <c r="P70" i="15" s="1"/>
  <c r="T70" i="15" s="1"/>
  <c r="V70" i="15" s="1"/>
  <c r="O49" i="15"/>
  <c r="O67" i="15" s="1"/>
  <c r="P67" i="15" s="1"/>
  <c r="T67" i="15" s="1"/>
  <c r="D68" i="15"/>
  <c r="E68" i="15" s="1"/>
  <c r="I68" i="15" s="1"/>
  <c r="J68" i="15" s="1"/>
  <c r="U61" i="15"/>
  <c r="E50" i="15"/>
  <c r="I50" i="15" s="1"/>
  <c r="K50" i="15" s="1"/>
  <c r="T64" i="15"/>
  <c r="V64" i="15" s="1"/>
  <c r="P68" i="15"/>
  <c r="T68" i="15" s="1"/>
  <c r="P50" i="15"/>
  <c r="T50" i="15" s="1"/>
  <c r="I69" i="15"/>
  <c r="J69" i="15" s="1"/>
  <c r="P47" i="15"/>
  <c r="P51" i="15"/>
  <c r="O66" i="15"/>
  <c r="P66" i="15" s="1"/>
  <c r="P48" i="15"/>
  <c r="C89" i="16"/>
  <c r="G89" i="16" s="1"/>
  <c r="S65" i="15"/>
  <c r="H32" i="15"/>
  <c r="S33" i="15"/>
  <c r="T33" i="15" s="1"/>
  <c r="U33" i="15" s="1"/>
  <c r="H33" i="15"/>
  <c r="S48" i="15"/>
  <c r="V16" i="15"/>
  <c r="H66" i="15"/>
  <c r="I66" i="15" s="1"/>
  <c r="E64" i="16"/>
  <c r="T15" i="15"/>
  <c r="U15" i="15" s="1"/>
  <c r="T36" i="15"/>
  <c r="U36" i="15" s="1"/>
  <c r="V17" i="15"/>
  <c r="S47" i="15"/>
  <c r="E63" i="16"/>
  <c r="T14" i="15"/>
  <c r="U14" i="15" s="1"/>
  <c r="V18" i="15"/>
  <c r="E25" i="16"/>
  <c r="E38" i="16" s="1"/>
  <c r="I48" i="15"/>
  <c r="J48" i="15" s="1"/>
  <c r="E26" i="16"/>
  <c r="E39" i="16" s="1"/>
  <c r="S32" i="15"/>
  <c r="T34" i="15"/>
  <c r="U34" i="15" s="1"/>
  <c r="S66" i="15"/>
  <c r="T35" i="15"/>
  <c r="U35" i="15" s="1"/>
  <c r="I47" i="15"/>
  <c r="K47" i="15" s="1"/>
  <c r="I14" i="15"/>
  <c r="K14" i="15" s="1"/>
  <c r="I15" i="15"/>
  <c r="K15" i="15" s="1"/>
  <c r="I36" i="15"/>
  <c r="J36" i="15" s="1"/>
  <c r="I16" i="15"/>
  <c r="J49" i="15"/>
  <c r="D14" i="16"/>
  <c r="D40" i="16" s="1"/>
  <c r="D34" i="15"/>
  <c r="E34" i="15" s="1"/>
  <c r="I34" i="15" s="1"/>
  <c r="J34" i="15" s="1"/>
  <c r="I70" i="15"/>
  <c r="K70" i="15" s="1"/>
  <c r="I64" i="15"/>
  <c r="K64" i="15" s="1"/>
  <c r="J31" i="15"/>
  <c r="C88" i="16"/>
  <c r="F88" i="16" s="1"/>
  <c r="E37" i="16"/>
  <c r="J51" i="15"/>
  <c r="E42" i="16"/>
  <c r="C93" i="16"/>
  <c r="C81" i="16"/>
  <c r="G82" i="16"/>
  <c r="F82" i="16"/>
  <c r="C92" i="16"/>
  <c r="C80" i="16"/>
  <c r="E41" i="16"/>
  <c r="E40" i="16"/>
  <c r="C91" i="16"/>
  <c r="C79" i="16"/>
  <c r="J18" i="15"/>
  <c r="G94" i="16"/>
  <c r="F94" i="16"/>
  <c r="G77" i="16"/>
  <c r="F77" i="16"/>
  <c r="C90" i="16"/>
  <c r="C78" i="16"/>
  <c r="J17" i="15"/>
  <c r="F76" i="16"/>
  <c r="G76" i="16"/>
  <c r="T66" i="15" l="1"/>
  <c r="V66" i="15" s="1"/>
  <c r="U22" i="15"/>
  <c r="V22" i="15"/>
  <c r="K67" i="15"/>
  <c r="K36" i="15"/>
  <c r="K34" i="15"/>
  <c r="I33" i="15"/>
  <c r="J33" i="15" s="1"/>
  <c r="I32" i="15"/>
  <c r="J32" i="15" s="1"/>
  <c r="U64" i="15"/>
  <c r="J61" i="15"/>
  <c r="U70" i="15"/>
  <c r="P49" i="15"/>
  <c r="T49" i="15" s="1"/>
  <c r="U49" i="15" s="1"/>
  <c r="U50" i="15"/>
  <c r="V50" i="15"/>
  <c r="U67" i="15"/>
  <c r="V67" i="15"/>
  <c r="K68" i="15"/>
  <c r="J50" i="15"/>
  <c r="K69" i="15"/>
  <c r="T51" i="15"/>
  <c r="V51" i="15" s="1"/>
  <c r="U68" i="15"/>
  <c r="V68" i="15"/>
  <c r="T65" i="15"/>
  <c r="V65" i="15" s="1"/>
  <c r="T48" i="15"/>
  <c r="U48" i="15" s="1"/>
  <c r="F89" i="16"/>
  <c r="E69" i="16"/>
  <c r="K48" i="15"/>
  <c r="J66" i="15"/>
  <c r="K66" i="15"/>
  <c r="V35" i="15"/>
  <c r="V69" i="15"/>
  <c r="T32" i="15"/>
  <c r="U32" i="15" s="1"/>
  <c r="J16" i="15"/>
  <c r="K16" i="15"/>
  <c r="V36" i="15"/>
  <c r="V33" i="15"/>
  <c r="U66" i="15"/>
  <c r="V14" i="15"/>
  <c r="V15" i="15"/>
  <c r="V34" i="15"/>
  <c r="T47" i="15"/>
  <c r="U47" i="15" s="1"/>
  <c r="K65" i="15"/>
  <c r="J15" i="15"/>
  <c r="J47" i="15"/>
  <c r="J14" i="15"/>
  <c r="J64" i="15"/>
  <c r="J70" i="15"/>
  <c r="G88" i="16"/>
  <c r="G92" i="16"/>
  <c r="F92" i="16"/>
  <c r="G78" i="16"/>
  <c r="F78" i="16"/>
  <c r="G90" i="16"/>
  <c r="F90" i="16"/>
  <c r="G81" i="16"/>
  <c r="F81" i="16"/>
  <c r="F91" i="16"/>
  <c r="G91" i="16"/>
  <c r="G93" i="16"/>
  <c r="F93" i="16"/>
  <c r="G80" i="16"/>
  <c r="F80" i="16"/>
  <c r="G79" i="16"/>
  <c r="F79" i="16"/>
  <c r="K32" i="15" l="1"/>
  <c r="V49" i="15"/>
  <c r="K33" i="15"/>
  <c r="U51" i="15"/>
  <c r="U65" i="15"/>
  <c r="V48" i="15"/>
  <c r="V47" i="15"/>
  <c r="V3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Gerda Kuschel</author>
  </authors>
  <commentList>
    <comment ref="C50" authorId="0" shapeId="0" xr:uid="{97EC51BC-3383-4949-B0A2-FD8E1910DB6C}">
      <text>
        <r>
          <rPr>
            <b/>
            <sz val="9"/>
            <color indexed="81"/>
            <rFont val="Tahoma"/>
            <family val="2"/>
          </rPr>
          <t>Gerda Kuschel:</t>
        </r>
        <r>
          <rPr>
            <sz val="9"/>
            <color indexed="81"/>
            <rFont val="Tahoma"/>
            <family val="2"/>
          </rPr>
          <t xml:space="preserve">
see Annual incs s/sheet</t>
        </r>
      </text>
    </comment>
    <comment ref="E50" authorId="0" shapeId="0" xr:uid="{E62AFDA2-95E8-4335-BF87-D46773296769}">
      <text>
        <r>
          <rPr>
            <b/>
            <sz val="9"/>
            <color indexed="81"/>
            <rFont val="Tahoma"/>
            <family val="2"/>
          </rPr>
          <t>Gerda Kuschel:</t>
        </r>
        <r>
          <rPr>
            <sz val="9"/>
            <color indexed="81"/>
            <rFont val="Tahoma"/>
            <family val="2"/>
          </rPr>
          <t xml:space="preserve">
see HH comp &amp; Health s/sheet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Gerda Kuschel</author>
    <author>Jayne Metcalfe</author>
  </authors>
  <commentList>
    <comment ref="C34" authorId="0" shapeId="0" xr:uid="{3BB96B57-ED32-4734-A94B-D13574035183}">
      <text>
        <r>
          <rPr>
            <b/>
            <sz val="9"/>
            <color indexed="81"/>
            <rFont val="Tahoma"/>
            <family val="2"/>
          </rPr>
          <t>Gerda Kuschel:</t>
        </r>
        <r>
          <rPr>
            <sz val="9"/>
            <color indexed="81"/>
            <rFont val="Tahoma"/>
            <family val="2"/>
          </rPr>
          <t xml:space="preserve">
Vicente et al 2020</t>
        </r>
      </text>
    </comment>
    <comment ref="C35" authorId="1" shapeId="0" xr:uid="{508CCAEF-7023-48AF-8872-2A3BBD6EEF43}">
      <text>
        <r>
          <rPr>
            <b/>
            <sz val="9"/>
            <color indexed="81"/>
            <rFont val="Tahoma"/>
            <family val="2"/>
          </rPr>
          <t>Jayne Metcalfe:</t>
        </r>
        <r>
          <rPr>
            <sz val="9"/>
            <color indexed="81"/>
            <rFont val="Tahoma"/>
            <family val="2"/>
          </rPr>
          <t xml:space="preserve">
Calculated based on Vicente et al 2020 
</t>
        </r>
      </text>
    </comment>
    <comment ref="C36" authorId="1" shapeId="0" xr:uid="{872446E4-FF03-4C9F-B130-5DA59161F2EE}">
      <text>
        <r>
          <rPr>
            <b/>
            <sz val="9"/>
            <color indexed="81"/>
            <rFont val="Tahoma"/>
            <family val="2"/>
          </rPr>
          <t>Jayne Metcalfe:</t>
        </r>
        <r>
          <rPr>
            <sz val="9"/>
            <color indexed="81"/>
            <rFont val="Tahoma"/>
            <family val="2"/>
          </rPr>
          <t xml:space="preserve">
Calculated based on Vicente et al 2020 
</t>
        </r>
      </text>
    </comment>
    <comment ref="C37" authorId="0" shapeId="0" xr:uid="{15D3C8B5-0518-4808-A00A-FCB907A18AD0}">
      <text>
        <r>
          <rPr>
            <b/>
            <sz val="9"/>
            <color indexed="81"/>
            <rFont val="Tahoma"/>
            <family val="2"/>
          </rPr>
          <t>Gerda Kuschel:</t>
        </r>
        <r>
          <rPr>
            <sz val="9"/>
            <color indexed="81"/>
            <rFont val="Tahoma"/>
            <family val="2"/>
          </rPr>
          <t xml:space="preserve">
Average of Vicente et al 2020, Fleish et al 2019 and Wyss et al 2016</t>
        </r>
      </text>
    </comment>
    <comment ref="C38" authorId="1" shapeId="0" xr:uid="{FD444DDB-0F69-4A1A-B7A0-D3D9FA4E202E}">
      <text>
        <r>
          <rPr>
            <b/>
            <sz val="9"/>
            <color indexed="81"/>
            <rFont val="Tahoma"/>
            <family val="2"/>
          </rPr>
          <t>Jayne Metcalfe:</t>
        </r>
        <r>
          <rPr>
            <sz val="9"/>
            <color indexed="81"/>
            <rFont val="Tahoma"/>
            <family val="2"/>
          </rPr>
          <t xml:space="preserve">
low estimated calculated based on results from Vicente et al 2020</t>
        </r>
      </text>
    </comment>
    <comment ref="C39" authorId="1" shapeId="0" xr:uid="{992D861E-B03D-41D4-B342-D84A28508B7B}">
      <text>
        <r>
          <rPr>
            <b/>
            <sz val="9"/>
            <color indexed="81"/>
            <rFont val="Tahoma"/>
            <family val="2"/>
          </rPr>
          <t>Jayne Metcalfe:</t>
        </r>
        <r>
          <rPr>
            <sz val="9"/>
            <color indexed="81"/>
            <rFont val="Tahoma"/>
            <family val="2"/>
          </rPr>
          <t xml:space="preserve">
high estimate calculated based on Vicente et al 2020</t>
        </r>
      </text>
    </comment>
    <comment ref="C40" authorId="0" shapeId="0" xr:uid="{42E887F8-3DB0-4C68-919B-12EB0FB10EEE}">
      <text>
        <r>
          <rPr>
            <b/>
            <sz val="9"/>
            <color indexed="81"/>
            <rFont val="Tahoma"/>
            <family val="2"/>
          </rPr>
          <t>Gerda Kuschel:</t>
        </r>
        <r>
          <rPr>
            <sz val="9"/>
            <color indexed="81"/>
            <rFont val="Tahoma"/>
            <family val="2"/>
          </rPr>
          <t xml:space="preserve">
Average of Chakraborty et al 2020, Salthammer et al 2014 </t>
        </r>
      </text>
    </comment>
    <comment ref="C41" authorId="1" shapeId="0" xr:uid="{F9F97B5F-5696-42A8-9624-F3FE4ECA9D27}">
      <text>
        <r>
          <rPr>
            <b/>
            <sz val="9"/>
            <color indexed="81"/>
            <rFont val="Tahoma"/>
            <family val="2"/>
          </rPr>
          <t>Jayne Metcalfe:</t>
        </r>
        <r>
          <rPr>
            <sz val="9"/>
            <color indexed="81"/>
            <rFont val="Tahoma"/>
            <family val="2"/>
          </rPr>
          <t xml:space="preserve">
low estimate calculated based on results from Chakraborty et al 2020
</t>
        </r>
      </text>
    </comment>
    <comment ref="C42" authorId="1" shapeId="0" xr:uid="{C6A25880-3E85-4B7B-8FEA-7A0B153C47BF}">
      <text>
        <r>
          <rPr>
            <b/>
            <sz val="9"/>
            <color indexed="81"/>
            <rFont val="Tahoma"/>
            <family val="2"/>
          </rPr>
          <t>Jayne Metcalfe:</t>
        </r>
        <r>
          <rPr>
            <sz val="9"/>
            <color indexed="81"/>
            <rFont val="Tahoma"/>
            <family val="2"/>
          </rPr>
          <t xml:space="preserve">
high estimate calculated based on results from Chakraborty et al 2020</t>
        </r>
      </text>
    </comment>
    <comment ref="C43" authorId="0" shapeId="0" xr:uid="{D412928A-377D-4612-93AC-8B0E73C9C658}">
      <text>
        <r>
          <rPr>
            <b/>
            <sz val="9"/>
            <color indexed="81"/>
            <rFont val="Tahoma"/>
            <family val="2"/>
          </rPr>
          <t>Gerda Kuschel:</t>
        </r>
        <r>
          <rPr>
            <sz val="9"/>
            <color indexed="81"/>
            <rFont val="Tahoma"/>
            <family val="2"/>
          </rPr>
          <t xml:space="preserve">
assume same as a NES burner</t>
        </r>
      </text>
    </comment>
    <comment ref="C44" authorId="0" shapeId="0" xr:uid="{AC88740E-F447-4DBA-9448-B27CFC116197}">
      <text>
        <r>
          <rPr>
            <b/>
            <sz val="9"/>
            <color indexed="81"/>
            <rFont val="Tahoma"/>
            <family val="2"/>
          </rPr>
          <t>Gerda Kuschel:</t>
        </r>
        <r>
          <rPr>
            <sz val="9"/>
            <color indexed="81"/>
            <rFont val="Tahoma"/>
            <family val="2"/>
          </rPr>
          <t xml:space="preserve">
assume same as a NES burner</t>
        </r>
      </text>
    </comment>
    <comment ref="C45" authorId="0" shapeId="0" xr:uid="{7A871D4E-2AB2-43A6-9504-50D7D2B7C1F5}">
      <text>
        <r>
          <rPr>
            <b/>
            <sz val="9"/>
            <color indexed="81"/>
            <rFont val="Tahoma"/>
            <family val="2"/>
          </rPr>
          <t>Gerda Kuschel:</t>
        </r>
        <r>
          <rPr>
            <sz val="9"/>
            <color indexed="81"/>
            <rFont val="Tahoma"/>
            <family val="2"/>
          </rPr>
          <t xml:space="preserve">
assume same as a NES burner</t>
        </r>
      </text>
    </comment>
    <comment ref="C46" authorId="0" shapeId="0" xr:uid="{7B3F017C-3BA4-48EB-8134-B97A2C08CE83}">
      <text>
        <r>
          <rPr>
            <b/>
            <sz val="9"/>
            <color indexed="81"/>
            <rFont val="Tahoma"/>
            <family val="2"/>
          </rPr>
          <t>Gerda Kuschel:</t>
        </r>
        <r>
          <rPr>
            <sz val="9"/>
            <color indexed="81"/>
            <rFont val="Tahoma"/>
            <family val="2"/>
          </rPr>
          <t xml:space="preserve">
assume 1/3 ULEB as door not opened as much</t>
        </r>
      </text>
    </comment>
    <comment ref="C47" authorId="0" shapeId="0" xr:uid="{F35FEA47-22E7-4BD9-A3C8-C8BC7EFDC883}">
      <text>
        <r>
          <rPr>
            <b/>
            <sz val="9"/>
            <color indexed="81"/>
            <rFont val="Tahoma"/>
            <family val="2"/>
          </rPr>
          <t>Gerda Kuschel:</t>
        </r>
        <r>
          <rPr>
            <sz val="9"/>
            <color indexed="81"/>
            <rFont val="Tahoma"/>
            <family val="2"/>
          </rPr>
          <t xml:space="preserve">
assume 1/3 ULEB as door not opened as much</t>
        </r>
      </text>
    </comment>
    <comment ref="C48" authorId="0" shapeId="0" xr:uid="{D3A79F6F-D990-44C7-A9CB-7B083B0D6E1E}">
      <text>
        <r>
          <rPr>
            <b/>
            <sz val="9"/>
            <color indexed="81"/>
            <rFont val="Tahoma"/>
            <family val="2"/>
          </rPr>
          <t>Gerda Kuschel:</t>
        </r>
        <r>
          <rPr>
            <sz val="9"/>
            <color indexed="81"/>
            <rFont val="Tahoma"/>
            <family val="2"/>
          </rPr>
          <t xml:space="preserve">
assume 1/3 ULEB as door not opened as much</t>
        </r>
      </text>
    </comment>
    <comment ref="C52" authorId="0" shapeId="0" xr:uid="{AD648C75-A1BA-4178-BA7F-9A69CAC301CC}">
      <text>
        <r>
          <rPr>
            <b/>
            <sz val="9"/>
            <color indexed="81"/>
            <rFont val="Tahoma"/>
            <family val="2"/>
          </rPr>
          <t>Gerda Kuschel:</t>
        </r>
        <r>
          <rPr>
            <sz val="9"/>
            <color indexed="81"/>
            <rFont val="Tahoma"/>
            <family val="2"/>
          </rPr>
          <t xml:space="preserve">
Gillespie-Bennett et al (2008)</t>
        </r>
      </text>
    </comment>
    <comment ref="C53" authorId="1" shapeId="0" xr:uid="{70B421C3-695A-498B-8120-99F1E896B781}">
      <text>
        <r>
          <rPr>
            <b/>
            <sz val="9"/>
            <color indexed="81"/>
            <rFont val="Tahoma"/>
            <family val="2"/>
          </rPr>
          <t>Jayne Metcalfe:</t>
        </r>
        <r>
          <rPr>
            <sz val="9"/>
            <color indexed="81"/>
            <rFont val="Tahoma"/>
            <family val="2"/>
          </rPr>
          <t xml:space="preserve">
Calculated from Gillespie-Bennett 2008 (95% confidence interval on GMR)
</t>
        </r>
      </text>
    </comment>
    <comment ref="C54" authorId="1" shapeId="0" xr:uid="{659F1A85-38B3-4A41-8843-B7D12AA2C520}">
      <text>
        <r>
          <rPr>
            <b/>
            <sz val="9"/>
            <color indexed="81"/>
            <rFont val="Tahoma"/>
            <family val="2"/>
          </rPr>
          <t>Jayne Metcalfe:</t>
        </r>
        <r>
          <rPr>
            <sz val="9"/>
            <color indexed="81"/>
            <rFont val="Tahoma"/>
            <family val="2"/>
          </rPr>
          <t xml:space="preserve">
Calculated from Gillespie-Bennett 2008 (95% confidence interval on GMR)
</t>
        </r>
      </text>
    </comment>
    <comment ref="C55" authorId="0" shapeId="0" xr:uid="{EF758C5B-6BD4-4D83-8E25-22FB6419D88B}">
      <text>
        <r>
          <rPr>
            <b/>
            <sz val="9"/>
            <color indexed="81"/>
            <rFont val="Tahoma"/>
            <family val="2"/>
          </rPr>
          <t>Gerda Kuschel:</t>
        </r>
        <r>
          <rPr>
            <sz val="9"/>
            <color indexed="81"/>
            <rFont val="Tahoma"/>
            <family val="2"/>
          </rPr>
          <t xml:space="preserve">
Gillespie-Bennett et al (2008)</t>
        </r>
      </text>
    </comment>
    <comment ref="C56" authorId="0" shapeId="0" xr:uid="{4429282A-F8D5-4BC4-9E05-44C5BE173CB4}">
      <text>
        <r>
          <rPr>
            <b/>
            <sz val="9"/>
            <color indexed="81"/>
            <rFont val="Tahoma"/>
            <family val="2"/>
          </rPr>
          <t>Gerda Kuschel:</t>
        </r>
        <r>
          <rPr>
            <sz val="9"/>
            <color indexed="81"/>
            <rFont val="Tahoma"/>
            <family val="2"/>
          </rPr>
          <t xml:space="preserve">
Gillespie-Bennett et al (2008) 95% CI on GMR</t>
        </r>
      </text>
    </comment>
    <comment ref="C57" authorId="0" shapeId="0" xr:uid="{C2E23421-82F8-4219-A7B3-FF5F97DF99C8}">
      <text>
        <r>
          <rPr>
            <b/>
            <sz val="9"/>
            <color indexed="81"/>
            <rFont val="Tahoma"/>
            <family val="2"/>
          </rPr>
          <t>Gerda Kuschel:</t>
        </r>
        <r>
          <rPr>
            <sz val="9"/>
            <color indexed="81"/>
            <rFont val="Tahoma"/>
            <family val="2"/>
          </rPr>
          <t xml:space="preserve">
Gillespie-Bennett et al (2008) 95% CI on GMR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Gerda Kuschel</author>
  </authors>
  <commentList>
    <comment ref="C43" authorId="0" shapeId="0" xr:uid="{28263640-A355-49B1-8BE3-B397B182EEF1}">
      <text>
        <r>
          <rPr>
            <b/>
            <sz val="9"/>
            <color indexed="81"/>
            <rFont val="Tahoma"/>
            <family val="2"/>
          </rPr>
          <t>Gerda Kuschel:</t>
        </r>
        <r>
          <rPr>
            <sz val="9"/>
            <color indexed="81"/>
            <rFont val="Tahoma"/>
            <family val="2"/>
          </rPr>
          <t xml:space="preserve">
corrected for total based on total stated
</t>
        </r>
      </text>
    </comment>
    <comment ref="C44" authorId="0" shapeId="0" xr:uid="{0959F962-BC1C-46DE-A5E8-5A151C8DC945}">
      <text>
        <r>
          <rPr>
            <b/>
            <sz val="9"/>
            <color indexed="81"/>
            <rFont val="Tahoma"/>
            <family val="2"/>
          </rPr>
          <t>Gerda Kuschel:</t>
        </r>
        <r>
          <rPr>
            <sz val="9"/>
            <color indexed="81"/>
            <rFont val="Tahoma"/>
            <family val="2"/>
          </rPr>
          <t xml:space="preserve">
corrected for total based on total stated
</t>
        </r>
      </text>
    </comment>
    <comment ref="C49" authorId="0" shapeId="0" xr:uid="{0776EDE8-4A39-4D1E-B45C-3F57BB9ADB34}">
      <text>
        <r>
          <rPr>
            <b/>
            <sz val="9"/>
            <color indexed="81"/>
            <rFont val="Tahoma"/>
            <family val="2"/>
          </rPr>
          <t>Gerda Kuschel:</t>
        </r>
        <r>
          <rPr>
            <sz val="9"/>
            <color indexed="81"/>
            <rFont val="Tahoma"/>
            <family val="2"/>
          </rPr>
          <t xml:space="preserve">
corrected for total based on total stated
</t>
        </r>
      </text>
    </comment>
    <comment ref="C50" authorId="0" shapeId="0" xr:uid="{DC96DDB0-A008-45A9-A875-91AB315CC869}">
      <text>
        <r>
          <rPr>
            <b/>
            <sz val="9"/>
            <color indexed="81"/>
            <rFont val="Tahoma"/>
            <family val="2"/>
          </rPr>
          <t>Gerda Kuschel:</t>
        </r>
        <r>
          <rPr>
            <sz val="9"/>
            <color indexed="81"/>
            <rFont val="Tahoma"/>
            <family val="2"/>
          </rPr>
          <t xml:space="preserve">
corrected for total based on total stated
</t>
        </r>
      </text>
    </comment>
    <comment ref="C54" authorId="0" shapeId="0" xr:uid="{69FB795C-7459-4A2A-9CF0-07D531738B08}">
      <text>
        <r>
          <rPr>
            <b/>
            <sz val="9"/>
            <color indexed="81"/>
            <rFont val="Tahoma"/>
            <family val="2"/>
          </rPr>
          <t>Gerda Kuschel:</t>
        </r>
        <r>
          <rPr>
            <sz val="9"/>
            <color indexed="81"/>
            <rFont val="Tahoma"/>
            <family val="2"/>
          </rPr>
          <t xml:space="preserve">
corrected for total based on total stated
</t>
        </r>
      </text>
    </comment>
    <comment ref="C55" authorId="0" shapeId="0" xr:uid="{5D5F9AA8-BA28-463D-83E7-A93D168B9238}">
      <text>
        <r>
          <rPr>
            <b/>
            <sz val="9"/>
            <color indexed="81"/>
            <rFont val="Tahoma"/>
            <family val="2"/>
          </rPr>
          <t>Gerda Kuschel:</t>
        </r>
        <r>
          <rPr>
            <sz val="9"/>
            <color indexed="81"/>
            <rFont val="Tahoma"/>
            <family val="2"/>
          </rPr>
          <t xml:space="preserve">
corrected for total based on total stated
</t>
        </r>
      </text>
    </comment>
    <comment ref="C59" authorId="0" shapeId="0" xr:uid="{84366616-80D0-483F-AA92-73EAE24D556F}">
      <text>
        <r>
          <rPr>
            <b/>
            <sz val="9"/>
            <color indexed="81"/>
            <rFont val="Tahoma"/>
            <family val="2"/>
          </rPr>
          <t>Gerda Kuschel:</t>
        </r>
        <r>
          <rPr>
            <sz val="9"/>
            <color indexed="81"/>
            <rFont val="Tahoma"/>
            <family val="2"/>
          </rPr>
          <t xml:space="preserve">
corrected for total based on total stated
</t>
        </r>
      </text>
    </comment>
    <comment ref="C60" authorId="0" shapeId="0" xr:uid="{C179DECC-F23C-4CBD-9DF7-592E2CCACB77}">
      <text>
        <r>
          <rPr>
            <b/>
            <sz val="9"/>
            <color indexed="81"/>
            <rFont val="Tahoma"/>
            <family val="2"/>
          </rPr>
          <t>Gerda Kuschel:</t>
        </r>
        <r>
          <rPr>
            <sz val="9"/>
            <color indexed="81"/>
            <rFont val="Tahoma"/>
            <family val="2"/>
          </rPr>
          <t xml:space="preserve">
corrected for total based on total stated
</t>
        </r>
      </text>
    </comment>
    <comment ref="C61" authorId="0" shapeId="0" xr:uid="{5CB501CC-66B2-4085-9746-F016F49163D8}">
      <text>
        <r>
          <rPr>
            <b/>
            <sz val="9"/>
            <color indexed="81"/>
            <rFont val="Tahoma"/>
            <family val="2"/>
          </rPr>
          <t>Gerda Kuschel:</t>
        </r>
        <r>
          <rPr>
            <sz val="9"/>
            <color indexed="81"/>
            <rFont val="Tahoma"/>
            <family val="2"/>
          </rPr>
          <t xml:space="preserve">
seems overly high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Lou Wickham</author>
  </authors>
  <commentList>
    <comment ref="D37" authorId="0" shapeId="0" xr:uid="{FEFF03B9-BC33-441C-91A9-370C5110441B}">
      <text>
        <r>
          <rPr>
            <b/>
            <sz val="9"/>
            <color indexed="81"/>
            <rFont val="Tahoma"/>
            <family val="2"/>
          </rPr>
          <t>Lou Wickham:</t>
        </r>
        <r>
          <rPr>
            <sz val="9"/>
            <color indexed="81"/>
            <rFont val="Tahoma"/>
            <family val="2"/>
          </rPr>
          <t xml:space="preserve">
typo corrected 1Aug25</t>
        </r>
      </text>
    </comment>
    <comment ref="D75" authorId="0" shapeId="0" xr:uid="{921E931F-AA6A-4E98-B68A-50337A5A77B0}">
      <text>
        <r>
          <rPr>
            <b/>
            <sz val="9"/>
            <color indexed="81"/>
            <rFont val="Tahoma"/>
            <family val="2"/>
          </rPr>
          <t>Lou Wickham:</t>
        </r>
        <r>
          <rPr>
            <sz val="9"/>
            <color indexed="81"/>
            <rFont val="Tahoma"/>
            <family val="2"/>
          </rPr>
          <t xml:space="preserve">
typo corrected 1Aug25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Lou Wickham</author>
  </authors>
  <commentList>
    <comment ref="D37" authorId="0" shapeId="0" xr:uid="{760B3291-052B-492A-9D05-5341D342F411}">
      <text>
        <r>
          <rPr>
            <b/>
            <sz val="9"/>
            <color indexed="81"/>
            <rFont val="Tahoma"/>
            <family val="2"/>
          </rPr>
          <t>Lou Wickham:</t>
        </r>
        <r>
          <rPr>
            <sz val="9"/>
            <color indexed="81"/>
            <rFont val="Tahoma"/>
            <family val="2"/>
          </rPr>
          <t xml:space="preserve">
typo corrected 1Aug25</t>
        </r>
      </text>
    </comment>
    <comment ref="D75" authorId="0" shapeId="0" xr:uid="{1868130D-6021-4113-9454-937B5E4FF59D}">
      <text>
        <r>
          <rPr>
            <b/>
            <sz val="9"/>
            <color indexed="81"/>
            <rFont val="Tahoma"/>
            <family val="2"/>
          </rPr>
          <t>Lou Wickham:</t>
        </r>
        <r>
          <rPr>
            <sz val="9"/>
            <color indexed="81"/>
            <rFont val="Tahoma"/>
            <family val="2"/>
          </rPr>
          <t xml:space="preserve">
typo corrected 1Aug25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Gerda Kuschel</author>
  </authors>
  <commentList>
    <comment ref="F39" authorId="0" shapeId="0" xr:uid="{780BC92D-AF55-421F-A547-D381D5A5BCE2}">
      <text>
        <r>
          <rPr>
            <b/>
            <sz val="9"/>
            <color indexed="81"/>
            <rFont val="Tahoma"/>
            <family val="2"/>
          </rPr>
          <t>Gerda Kuschel:</t>
        </r>
        <r>
          <rPr>
            <sz val="9"/>
            <color indexed="81"/>
            <rFont val="Tahoma"/>
            <family val="2"/>
          </rPr>
          <t xml:space="preserve">
using daily open fire PM2.5/estimated daily fuel use</t>
        </r>
      </text>
    </comment>
  </commentList>
</comments>
</file>

<file path=xl/sharedStrings.xml><?xml version="1.0" encoding="utf-8"?>
<sst xmlns="http://schemas.openxmlformats.org/spreadsheetml/2006/main" count="2248" uniqueCount="925">
  <si>
    <t>This model estimates the typical incremental economic and fiscal costs associated with household exposure to emissions from select indoor combustion appliances in New Zealand.</t>
  </si>
  <si>
    <t>For context, this model also compares the total costs of indoor and outdoor emissions from each appliance.</t>
  </si>
  <si>
    <t>The model is organised with the following sheets:</t>
  </si>
  <si>
    <t>Click on the relevant sheet below to go straight to it</t>
  </si>
  <si>
    <t>Introduction and scenario selection</t>
  </si>
  <si>
    <t>Scope</t>
  </si>
  <si>
    <t>Summarises the parameters covered in this model (e.g. appliances, pollutants, health outcomes, base years for data etc.).</t>
  </si>
  <si>
    <t>Input</t>
  </si>
  <si>
    <t xml:space="preserve">Allows users to test different values for exposure (concentration &amp; duration) and  health outcomes (relative risk factors &amp; costs) for each indoor combustion appliance. </t>
  </si>
  <si>
    <t>Each parameter defaults to the central (best) estimate, with reasonable low/ high values also shown.</t>
  </si>
  <si>
    <t>Note: The assumptions for each category  are shown in the individual data/assumptions sheets later in this workbook.  The low, high or other values can be used for sensitivity testing.</t>
  </si>
  <si>
    <t>Model results</t>
  </si>
  <si>
    <t>Results</t>
  </si>
  <si>
    <t xml:space="preserve">Compares the annual costs estimated for exposure to each indoor appliance for the basecase (default values) with those for the scenario (user selection).  </t>
  </si>
  <si>
    <t>The estimated indoor air quality impacts are also compared with the estimated outdoor air quality impacts for each appliance (where relevant).</t>
  </si>
  <si>
    <t>Note: The outdoor air quality impacts are calculated using New Zealand (average exposure) damage costs</t>
  </si>
  <si>
    <t>Report tables</t>
  </si>
  <si>
    <t>Generates/presents the tables used in the report.</t>
  </si>
  <si>
    <t>Note: Some of the values shown have been hard copied from the scenario modelling</t>
  </si>
  <si>
    <t>Indoor combustion data/assumptions</t>
  </si>
  <si>
    <t>ERFs</t>
  </si>
  <si>
    <t>Relative exposure risk factors (ERFs), with their confidence intervals, for each health effect assessed in the model</t>
  </si>
  <si>
    <t>Note: The source for each ERF is shown in this sheet and described in full in the References worksheet.</t>
  </si>
  <si>
    <t>Costs</t>
  </si>
  <si>
    <r>
      <t>Economic and fiscal costs estimated per health outcome (case), with their range, in NZD</t>
    </r>
    <r>
      <rPr>
        <i/>
        <sz val="11"/>
        <rFont val="Calibri"/>
        <family val="2"/>
      </rPr>
      <t xml:space="preserve"> </t>
    </r>
    <r>
      <rPr>
        <sz val="11"/>
        <rFont val="Calibri"/>
        <family val="2"/>
      </rPr>
      <t>as at June 2025</t>
    </r>
  </si>
  <si>
    <t>Note: The sources used to estimate each social cost are shown in this sheet and described in full in the References worksheet.  All assumptions are clearly stated.</t>
  </si>
  <si>
    <t>Annual incs</t>
  </si>
  <si>
    <r>
      <t>PM</t>
    </r>
    <r>
      <rPr>
        <vertAlign val="subscript"/>
        <sz val="11"/>
        <color theme="1"/>
        <rFont val="Calibri"/>
        <family val="2"/>
      </rPr>
      <t>2.5</t>
    </r>
    <r>
      <rPr>
        <sz val="11"/>
        <color theme="1"/>
        <rFont val="Calibri"/>
        <family val="2"/>
      </rPr>
      <t xml:space="preserve"> and NO</t>
    </r>
    <r>
      <rPr>
        <vertAlign val="subscript"/>
        <sz val="11"/>
        <color theme="1"/>
        <rFont val="Calibri"/>
        <family val="2"/>
      </rPr>
      <t>2</t>
    </r>
    <r>
      <rPr>
        <sz val="11"/>
        <color theme="1"/>
        <rFont val="Calibri"/>
        <family val="2"/>
      </rPr>
      <t xml:space="preserve"> annual concentration increments estimated for each indoor combustion appliance from the literature review, with low/high values indicated</t>
    </r>
  </si>
  <si>
    <t>Note: The sources used to estimate each increment are shown in this sheet and described in full in the References worksheet.  All assumptions are clearly stated.</t>
  </si>
  <si>
    <t>HH comp &amp; Health</t>
  </si>
  <si>
    <t xml:space="preserve">Number of adults and children in a typical household (HH), with low/high values indicated, together with relevant health incidence/prevalence data for all health outcomes in this model </t>
  </si>
  <si>
    <t xml:space="preserve">Note: The sources and assumption used to estimate typical household composition and baseline health outcomes are shown in this sheet and described in full in the References worksheet.  </t>
  </si>
  <si>
    <t>NZ nat data</t>
  </si>
  <si>
    <t>Presents the best estimates for the number of appliances and average fuel use across New Zealand based on a review of available data</t>
  </si>
  <si>
    <t>Note: The sources used are shown in this sheet and described in full in the References worksheet.  All assumptions are clearly stated.</t>
  </si>
  <si>
    <t>Indoor impacts per HH</t>
  </si>
  <si>
    <t xml:space="preserve">Estimates the per household indoor air related health impacts and costs for the basecase (default values) and the scenario (user selection) from the Input worksheet </t>
  </si>
  <si>
    <t>Note: Total costs for each appliance are calculated for mortality based on VoSL as well as mortality based on VoLY.</t>
  </si>
  <si>
    <t>Indoor impacts NZ</t>
  </si>
  <si>
    <t>Estimates the total NZ indoor air related health impacts and costs for the basecase (default values) and the scenario (user selection) from the Input worksheet</t>
  </si>
  <si>
    <t>Note: Total costs are based on the estimated appliance numbers from the NZ nat data worksheet</t>
  </si>
  <si>
    <t>Outdoor combustion data/assumptions</t>
  </si>
  <si>
    <t>Fuel use</t>
  </si>
  <si>
    <r>
      <t>Typical annual wood and gas used by the indoor combustion appliances with estimates of PM</t>
    </r>
    <r>
      <rPr>
        <vertAlign val="subscript"/>
        <sz val="11"/>
        <color theme="1"/>
        <rFont val="Calibri"/>
        <family val="2"/>
      </rPr>
      <t>2.5</t>
    </r>
    <r>
      <rPr>
        <sz val="11"/>
        <color theme="1"/>
        <rFont val="Calibri"/>
        <family val="2"/>
      </rPr>
      <t xml:space="preserve"> &amp; NO</t>
    </r>
    <r>
      <rPr>
        <vertAlign val="subscript"/>
        <sz val="11"/>
        <color theme="1"/>
        <rFont val="Calibri"/>
        <family val="2"/>
      </rPr>
      <t>X</t>
    </r>
    <r>
      <rPr>
        <sz val="11"/>
        <color theme="1"/>
        <rFont val="Calibri"/>
        <family val="2"/>
      </rPr>
      <t xml:space="preserve"> emitted outdoors </t>
    </r>
  </si>
  <si>
    <t>Note: The source for each fuel/emission factor is shown in this sheet and described in full in the References worksheet.</t>
  </si>
  <si>
    <t>Damage costs</t>
  </si>
  <si>
    <r>
      <t>Damage costs estimated per tonne of PM</t>
    </r>
    <r>
      <rPr>
        <vertAlign val="subscript"/>
        <sz val="11"/>
        <color theme="1"/>
        <rFont val="Calibri"/>
        <family val="2"/>
      </rPr>
      <t>2.5</t>
    </r>
    <r>
      <rPr>
        <sz val="11"/>
        <color theme="1"/>
        <rFont val="Calibri"/>
        <family val="2"/>
      </rPr>
      <t xml:space="preserve"> and NO</t>
    </r>
    <r>
      <rPr>
        <vertAlign val="subscript"/>
        <sz val="11"/>
        <color theme="1"/>
        <rFont val="Calibri"/>
        <family val="2"/>
      </rPr>
      <t>X</t>
    </r>
    <r>
      <rPr>
        <sz val="11"/>
        <color theme="1"/>
        <rFont val="Calibri"/>
        <family val="2"/>
      </rPr>
      <t xml:space="preserve"> emitted, in NZD</t>
    </r>
    <r>
      <rPr>
        <i/>
        <sz val="11"/>
        <rFont val="Calibri"/>
        <family val="2"/>
      </rPr>
      <t xml:space="preserve"> </t>
    </r>
    <r>
      <rPr>
        <sz val="11"/>
        <rFont val="Calibri"/>
        <family val="2"/>
      </rPr>
      <t>as at June 2025</t>
    </r>
  </si>
  <si>
    <t>Note: The sources used to update each damage cost are shown in this sheet and described in full in the References worksheet.  All assumptions are clearly stated.</t>
  </si>
  <si>
    <t>Outdoor impacts per HH</t>
  </si>
  <si>
    <t>Estimates the per household outdoor air related health impacts for each indoor combustion appliance based on typical annual fuel usage</t>
  </si>
  <si>
    <t>Note: Total costs  for each appliance (in $ as at 2025) are estimated using damage costs split into economic and fiscal costs for NZ average, Rural and Urban exposure.</t>
  </si>
  <si>
    <t>Outdoor impacts NZ</t>
  </si>
  <si>
    <t>Estimates the total NZ outdoor air related health impacts and costs for the indoor combustion appliances assessed based on typical annual fuel usage</t>
  </si>
  <si>
    <t>Supporting information</t>
  </si>
  <si>
    <t>Glossary</t>
  </si>
  <si>
    <t>Terms and abbreviations used in this model</t>
  </si>
  <si>
    <t>References</t>
  </si>
  <si>
    <t>All references used for the modelling</t>
  </si>
  <si>
    <t>This sheet outlines the parameters covered in this model (e.g. appliances, pollutants, health outcomes, base years for data etc.)</t>
  </si>
  <si>
    <t>Back to Contents</t>
  </si>
  <si>
    <t>The model estimates the typical incremental economic and fiscal costs associated with household exposure to emissions from select indoor combustion appliances in New Zealand.</t>
  </si>
  <si>
    <t>It also compares the total costs of indoor and outdoor emissions resulting from each appliance for context.</t>
  </si>
  <si>
    <t>Indoor combustion appliances</t>
  </si>
  <si>
    <t>The appliances modelled include:</t>
  </si>
  <si>
    <t>Electric stove</t>
  </si>
  <si>
    <t>Gas stove</t>
  </si>
  <si>
    <t>Wood burner type 1a (open fire)</t>
  </si>
  <si>
    <t>Wood burner type 1b (non-NES woodburners)</t>
  </si>
  <si>
    <t>Wood burner type 2 (NES-compliant)</t>
  </si>
  <si>
    <t>Wood burner type 3 (ultra low emissions)</t>
  </si>
  <si>
    <t>Wood pellet burner</t>
  </si>
  <si>
    <t>Gas unflued heater</t>
  </si>
  <si>
    <t>Pollutants</t>
  </si>
  <si>
    <t>Annual incremental exposure is estimated for the following harmful pollutants:</t>
  </si>
  <si>
    <r>
      <t>PM</t>
    </r>
    <r>
      <rPr>
        <vertAlign val="subscript"/>
        <sz val="11"/>
        <color theme="1"/>
        <rFont val="Calibri"/>
        <family val="2"/>
      </rPr>
      <t>2.5</t>
    </r>
  </si>
  <si>
    <t>particulate matter less than 2.5µm</t>
  </si>
  <si>
    <r>
      <t>NO</t>
    </r>
    <r>
      <rPr>
        <vertAlign val="subscript"/>
        <sz val="11"/>
        <color theme="1"/>
        <rFont val="Calibri"/>
        <family val="2"/>
      </rPr>
      <t>2</t>
    </r>
  </si>
  <si>
    <t>nitrogen dioxide</t>
  </si>
  <si>
    <t>Health outcomes</t>
  </si>
  <si>
    <t>The following health outcomes are assessed:</t>
  </si>
  <si>
    <t>Mortality (death)</t>
  </si>
  <si>
    <r>
      <t>Premature mortality for all adults (30+ years) due to annual PM</t>
    </r>
    <r>
      <rPr>
        <vertAlign val="subscript"/>
        <sz val="11"/>
        <color theme="1"/>
        <rFont val="Calibri"/>
        <family val="2"/>
      </rPr>
      <t>2.5</t>
    </r>
    <r>
      <rPr>
        <sz val="11"/>
        <color theme="1"/>
        <rFont val="Calibri"/>
        <family val="2"/>
      </rPr>
      <t xml:space="preserv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</si>
  <si>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r>
      <t>Years of life lost (YLL) for all adults (30+ years) due to annual PM</t>
    </r>
    <r>
      <rPr>
        <vertAlign val="subscript"/>
        <sz val="11"/>
        <color theme="1"/>
        <rFont val="Calibri"/>
        <family val="2"/>
      </rPr>
      <t>2.5</t>
    </r>
    <r>
      <rPr>
        <sz val="11"/>
        <color theme="1"/>
        <rFont val="Calibri"/>
        <family val="2"/>
      </rPr>
      <t xml:space="preserv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</si>
  <si>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t>Morbidity (illness)</t>
  </si>
  <si>
    <r>
      <t>Cardiovascular hospitalisations for all ages due to annual PM</t>
    </r>
    <r>
      <rPr>
        <vertAlign val="subscript"/>
        <sz val="11"/>
        <color theme="1"/>
        <rFont val="Calibri"/>
        <family val="2"/>
      </rPr>
      <t>2.5</t>
    </r>
    <r>
      <rPr>
        <sz val="11"/>
        <color theme="1"/>
        <rFont val="Calibri"/>
        <family val="2"/>
      </rPr>
      <t xml:space="preserve"> exposure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</si>
  <si>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r>
      <t>Respiratory hospitalisations for all ages due to annual PM</t>
    </r>
    <r>
      <rPr>
        <vertAlign val="subscript"/>
        <sz val="11"/>
        <color theme="1"/>
        <rFont val="Calibri"/>
        <family val="2"/>
      </rPr>
      <t>2.5</t>
    </r>
    <r>
      <rPr>
        <sz val="11"/>
        <color theme="1"/>
        <rFont val="Calibri"/>
        <family val="2"/>
      </rPr>
      <t xml:space="preserve"> exposure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</si>
  <si>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r>
      <t>*Asthma/wheeze hospitalisations for 0-18 year olds due to annual NO</t>
    </r>
    <r>
      <rPr>
        <i/>
        <vertAlign val="subscript"/>
        <sz val="11"/>
        <rFont val="Calibri"/>
        <family val="2"/>
      </rPr>
      <t>2</t>
    </r>
    <r>
      <rPr>
        <i/>
        <sz val="11"/>
        <rFont val="Calibri"/>
        <family val="2"/>
      </rPr>
      <t xml:space="preserve"> exposure (as subset of NO</t>
    </r>
    <r>
      <rPr>
        <i/>
        <vertAlign val="subscript"/>
        <sz val="11"/>
        <rFont val="Calibri"/>
        <family val="2"/>
      </rPr>
      <t>2</t>
    </r>
    <r>
      <rPr>
        <i/>
        <sz val="11"/>
        <rFont val="Calibri"/>
        <family val="2"/>
      </rPr>
      <t xml:space="preserve"> respiratory hospitalisations for all ages)</t>
    </r>
  </si>
  <si>
    <r>
      <t>Restricted activity days for all ages due to annual PM</t>
    </r>
    <r>
      <rPr>
        <vertAlign val="subscript"/>
        <sz val="11"/>
        <color theme="1"/>
        <rFont val="Calibri"/>
        <family val="2"/>
      </rPr>
      <t>2.5</t>
    </r>
    <r>
      <rPr>
        <sz val="11"/>
        <color theme="1"/>
        <rFont val="Calibri"/>
        <family val="2"/>
      </rPr>
      <t xml:space="preserve"> exposure (only)</t>
    </r>
  </si>
  <si>
    <r>
      <t xml:space="preserve">The economic and fiscal costs are estimated for each health outcome </t>
    </r>
    <r>
      <rPr>
        <sz val="11"/>
        <rFont val="Calibri"/>
        <family val="2"/>
      </rPr>
      <t xml:space="preserve">as at June </t>
    </r>
    <r>
      <rPr>
        <b/>
        <sz val="11"/>
        <rFont val="Calibri"/>
        <family val="2"/>
      </rPr>
      <t>2025</t>
    </r>
  </si>
  <si>
    <t>Household composition</t>
  </si>
  <si>
    <r>
      <t>The typical makeup of a New Zealand household (numbers of children and adults) is based o</t>
    </r>
    <r>
      <rPr>
        <sz val="11"/>
        <rFont val="Calibri"/>
        <family val="2"/>
      </rPr>
      <t xml:space="preserve">n the </t>
    </r>
    <r>
      <rPr>
        <b/>
        <sz val="11"/>
        <rFont val="Calibri"/>
        <family val="2"/>
      </rPr>
      <t>2018</t>
    </r>
    <r>
      <rPr>
        <sz val="11"/>
        <rFont val="Calibri"/>
        <family val="2"/>
      </rPr>
      <t xml:space="preserve"> Census</t>
    </r>
    <r>
      <rPr>
        <sz val="11"/>
        <color theme="1"/>
        <rFont val="Calibri"/>
        <family val="2"/>
      </rPr>
      <t xml:space="preserve"> as the 2023 Census data are yet to provide updated figures</t>
    </r>
  </si>
  <si>
    <r>
      <t xml:space="preserve">The total number of households and those using different fuel/appliance types for home heating are taken from the </t>
    </r>
    <r>
      <rPr>
        <b/>
        <sz val="11"/>
        <color theme="1"/>
        <rFont val="Calibri"/>
        <family val="2"/>
      </rPr>
      <t xml:space="preserve">2023 </t>
    </r>
    <r>
      <rPr>
        <sz val="11"/>
        <color theme="1"/>
        <rFont val="Calibri"/>
        <family val="2"/>
      </rPr>
      <t>Census</t>
    </r>
  </si>
  <si>
    <t>Health data</t>
  </si>
  <si>
    <r>
      <t xml:space="preserve">Baseline health incidence/prevalence data for all health outcomes are three-year averages for </t>
    </r>
    <r>
      <rPr>
        <b/>
        <sz val="11"/>
        <rFont val="Calibri"/>
        <family val="2"/>
      </rPr>
      <t>2015-2017</t>
    </r>
    <r>
      <rPr>
        <sz val="11"/>
        <rFont val="Calibri"/>
        <family val="2"/>
      </rPr>
      <t xml:space="preserve"> as per HAPINZ 3</t>
    </r>
  </si>
  <si>
    <t>Outdoor combustion comparison</t>
  </si>
  <si>
    <r>
      <t xml:space="preserve">Annual ambient (outdoor) health burden of each appliance based on annual fuel use, emissions and damage costs as at June </t>
    </r>
    <r>
      <rPr>
        <b/>
        <sz val="11"/>
        <color theme="1"/>
        <rFont val="Calibri"/>
        <family val="2"/>
      </rPr>
      <t>2025</t>
    </r>
    <r>
      <rPr>
        <sz val="11"/>
        <color theme="1"/>
        <rFont val="Calibri"/>
        <family val="2"/>
      </rPr>
      <t xml:space="preserve"> - for woodburners only</t>
    </r>
  </si>
  <si>
    <t>Input sheet</t>
  </si>
  <si>
    <t xml:space="preserve">This sheet allows users to test different values for exposure (concentration &amp; duration) and  health outcomes (relative risk factors &amp; costs) for each indoor combustion appliance.  </t>
  </si>
  <si>
    <t>Note: The assumptions for each category  are shown in the relevant pages of this workbook.  The low, high or other values can be used for sensitivity testing.</t>
  </si>
  <si>
    <t>Health Outcomes</t>
  </si>
  <si>
    <t>Cost (as at June 2025)</t>
  </si>
  <si>
    <t>All are additive except those indicated by an * (use either mortality or YLL not both)</t>
  </si>
  <si>
    <t>Default</t>
  </si>
  <si>
    <t>User defined</t>
  </si>
  <si>
    <t>Unit</t>
  </si>
  <si>
    <t>Low</t>
  </si>
  <si>
    <t>High</t>
  </si>
  <si>
    <r>
      <t>PM</t>
    </r>
    <r>
      <rPr>
        <b/>
        <vertAlign val="subscript"/>
        <sz val="10"/>
        <color theme="5"/>
        <rFont val="Calibri"/>
        <family val="2"/>
      </rPr>
      <t>2.5</t>
    </r>
  </si>
  <si>
    <t>Mortality</t>
  </si>
  <si>
    <r>
      <t>Premature mortality for all adults (30+ years) due to annual PM</t>
    </r>
    <r>
      <rPr>
        <vertAlign val="subscript"/>
        <sz val="10"/>
        <color theme="1"/>
        <rFont val="Calibri"/>
        <family val="2"/>
      </rPr>
      <t>2.5</t>
    </r>
    <r>
      <rPr>
        <sz val="10"/>
        <color theme="1"/>
        <rFont val="Calibri"/>
        <family val="2"/>
      </rPr>
      <t xml:space="preserve"> exposure</t>
    </r>
  </si>
  <si>
    <r>
      <t>per 10 μg/m</t>
    </r>
    <r>
      <rPr>
        <i/>
        <vertAlign val="superscript"/>
        <sz val="10"/>
        <color theme="1"/>
        <rFont val="Calibri"/>
        <family val="2"/>
      </rPr>
      <t>3</t>
    </r>
  </si>
  <si>
    <t>per premature death</t>
  </si>
  <si>
    <t>or</t>
  </si>
  <si>
    <r>
      <t>Years of life lost (YLL) for all adults (30+ years) due to annual PM</t>
    </r>
    <r>
      <rPr>
        <vertAlign val="subscript"/>
        <sz val="10"/>
        <color theme="1"/>
        <rFont val="Calibri"/>
        <family val="2"/>
      </rPr>
      <t>2.5</t>
    </r>
    <r>
      <rPr>
        <sz val="10"/>
        <color theme="1"/>
        <rFont val="Calibri"/>
        <family val="2"/>
      </rPr>
      <t xml:space="preserve"> exposure</t>
    </r>
  </si>
  <si>
    <t>per year of life lost</t>
  </si>
  <si>
    <t>Morbidity</t>
  </si>
  <si>
    <r>
      <t>Cardiovascular hospitalisations for all ages due to annual PM</t>
    </r>
    <r>
      <rPr>
        <vertAlign val="subscript"/>
        <sz val="10"/>
        <color theme="1"/>
        <rFont val="Calibri"/>
        <family val="2"/>
      </rPr>
      <t>2.5</t>
    </r>
    <r>
      <rPr>
        <sz val="10"/>
        <color theme="1"/>
        <rFont val="Calibri"/>
        <family val="2"/>
      </rPr>
      <t xml:space="preserve"> exposure</t>
    </r>
  </si>
  <si>
    <t>per admission</t>
  </si>
  <si>
    <r>
      <t>Respiratory hospitalisations for all ages due to annual PM</t>
    </r>
    <r>
      <rPr>
        <vertAlign val="subscript"/>
        <sz val="10"/>
        <color theme="1"/>
        <rFont val="Calibri"/>
        <family val="2"/>
      </rPr>
      <t>2.5</t>
    </r>
    <r>
      <rPr>
        <sz val="10"/>
        <color theme="1"/>
        <rFont val="Calibri"/>
        <family val="2"/>
      </rPr>
      <t xml:space="preserve"> exposure</t>
    </r>
  </si>
  <si>
    <r>
      <t>Restricted activity days for all ages due to annual PM</t>
    </r>
    <r>
      <rPr>
        <vertAlign val="subscript"/>
        <sz val="10"/>
        <color theme="1"/>
        <rFont val="Calibri"/>
        <family val="2"/>
      </rPr>
      <t>2.5</t>
    </r>
    <r>
      <rPr>
        <sz val="10"/>
        <color theme="1"/>
        <rFont val="Calibri"/>
        <family val="2"/>
      </rPr>
      <t xml:space="preserve"> exposure</t>
    </r>
  </si>
  <si>
    <t>per RAD</t>
  </si>
  <si>
    <r>
      <t>NO</t>
    </r>
    <r>
      <rPr>
        <b/>
        <vertAlign val="subscript"/>
        <sz val="10"/>
        <color theme="7" tint="-0.249977111117893"/>
        <rFont val="Calibri"/>
        <family val="2"/>
      </rPr>
      <t>2</t>
    </r>
  </si>
  <si>
    <r>
      <t>Premature mortality for adults (30+ years) due to annual NO</t>
    </r>
    <r>
      <rPr>
        <vertAlign val="subscript"/>
        <sz val="10"/>
        <color theme="1"/>
        <rFont val="Calibri"/>
        <family val="2"/>
      </rPr>
      <t>2</t>
    </r>
    <r>
      <rPr>
        <sz val="10"/>
        <color theme="1"/>
        <rFont val="Calibri"/>
        <family val="2"/>
      </rPr>
      <t xml:space="preserve"> exposure</t>
    </r>
  </si>
  <si>
    <r>
      <t>Years of life lost (YLL) for all adults (30+ years) due to annual NO</t>
    </r>
    <r>
      <rPr>
        <vertAlign val="subscript"/>
        <sz val="10"/>
        <color theme="1"/>
        <rFont val="Calibri"/>
        <family val="2"/>
      </rPr>
      <t>2</t>
    </r>
    <r>
      <rPr>
        <sz val="10"/>
        <color theme="1"/>
        <rFont val="Calibri"/>
        <family val="2"/>
      </rPr>
      <t xml:space="preserve"> exposure</t>
    </r>
  </si>
  <si>
    <t>per years of life lost</t>
  </si>
  <si>
    <r>
      <t>Cardiovascular hospitalisations due to long-term NO</t>
    </r>
    <r>
      <rPr>
        <vertAlign val="subscript"/>
        <sz val="10"/>
        <color theme="1"/>
        <rFont val="Calibri"/>
        <family val="2"/>
      </rPr>
      <t>2</t>
    </r>
    <r>
      <rPr>
        <sz val="10"/>
        <color theme="1"/>
        <rFont val="Calibri"/>
        <family val="2"/>
      </rPr>
      <t xml:space="preserve"> exposure</t>
    </r>
  </si>
  <si>
    <r>
      <t>Respiratory hospitalisations for all ages due to annual NO</t>
    </r>
    <r>
      <rPr>
        <vertAlign val="subscript"/>
        <sz val="10"/>
        <color theme="1"/>
        <rFont val="Calibri"/>
        <family val="2"/>
      </rPr>
      <t>2</t>
    </r>
    <r>
      <rPr>
        <sz val="10"/>
        <color theme="1"/>
        <rFont val="Calibri"/>
        <family val="2"/>
      </rPr>
      <t xml:space="preserve"> exposure</t>
    </r>
  </si>
  <si>
    <r>
      <t xml:space="preserve">  *Asthma/wheeze hospitalisations for 0-18 year olds due to annual NO</t>
    </r>
    <r>
      <rPr>
        <vertAlign val="subscript"/>
        <sz val="10"/>
        <rFont val="Calibri"/>
        <family val="2"/>
      </rPr>
      <t>2</t>
    </r>
    <r>
      <rPr>
        <sz val="10"/>
        <rFont val="Calibri"/>
        <family val="2"/>
      </rPr>
      <t xml:space="preserve"> exposure</t>
    </r>
  </si>
  <si>
    <t>per case</t>
  </si>
  <si>
    <r>
      <t>Asthma prevalence for 0-18 year olds due to annual NO</t>
    </r>
    <r>
      <rPr>
        <vertAlign val="subscript"/>
        <sz val="10"/>
        <color theme="1"/>
        <rFont val="Calibri"/>
        <family val="2"/>
      </rPr>
      <t>2</t>
    </r>
    <r>
      <rPr>
        <sz val="10"/>
        <color theme="1"/>
        <rFont val="Calibri"/>
        <family val="2"/>
      </rPr>
      <t xml:space="preserve"> exposure</t>
    </r>
  </si>
  <si>
    <r>
      <t>per 4 μg/m</t>
    </r>
    <r>
      <rPr>
        <i/>
        <vertAlign val="superscript"/>
        <sz val="10"/>
        <color theme="1"/>
        <rFont val="Calibri"/>
        <family val="2"/>
      </rPr>
      <t>3</t>
    </r>
  </si>
  <si>
    <t>Indoor Appliance</t>
  </si>
  <si>
    <t>Indoor air pollution annual increment</t>
  </si>
  <si>
    <r>
      <t>μg/m</t>
    </r>
    <r>
      <rPr>
        <i/>
        <vertAlign val="superscript"/>
        <sz val="10"/>
        <color theme="1"/>
        <rFont val="Calibri"/>
        <family val="2"/>
      </rPr>
      <t>3</t>
    </r>
  </si>
  <si>
    <t>Household Demographics</t>
  </si>
  <si>
    <t>Average composition per household</t>
  </si>
  <si>
    <t>Number of adults (30+ years) per household</t>
  </si>
  <si>
    <t>no/h'hold</t>
  </si>
  <si>
    <t>Number of children (&lt;18 years) per household</t>
  </si>
  <si>
    <t>This sheet compares the annual costs estimated for exposure to each indoor appliance for the basecase (default values) with those for the scenario (user selection).  The estimated indoor air quality impacts are also compared with the estimated outdoor air quality impacts for each appliance (where relevant).</t>
  </si>
  <si>
    <t>Basecase - default values</t>
  </si>
  <si>
    <t>Note:  Outdoor costs are the same in the basecase and scenario, with both based on NZ (average exposure) damage costs for comparison purposes only</t>
  </si>
  <si>
    <r>
      <t xml:space="preserve">Annual costs </t>
    </r>
    <r>
      <rPr>
        <b/>
        <sz val="11"/>
        <color rgb="FFFF0000"/>
        <rFont val="Calibri"/>
        <family val="2"/>
      </rPr>
      <t>per household</t>
    </r>
    <r>
      <rPr>
        <b/>
        <sz val="11"/>
        <color theme="1"/>
        <rFont val="Calibri"/>
        <family val="2"/>
      </rPr>
      <t xml:space="preserve"> ($ at June 2025)</t>
    </r>
  </si>
  <si>
    <t>Estimated No of Appliances</t>
  </si>
  <si>
    <r>
      <t xml:space="preserve">Annual costs </t>
    </r>
    <r>
      <rPr>
        <b/>
        <sz val="11"/>
        <color rgb="FFFF0000"/>
        <rFont val="Calibri"/>
        <family val="2"/>
      </rPr>
      <t>across NZ</t>
    </r>
    <r>
      <rPr>
        <b/>
        <sz val="11"/>
        <color theme="1"/>
        <rFont val="Calibri"/>
        <family val="2"/>
      </rPr>
      <t xml:space="preserve"> ($M at June 2025)</t>
    </r>
  </si>
  <si>
    <t>Indoor - Economic</t>
  </si>
  <si>
    <t>Indoor - Fiscal</t>
  </si>
  <si>
    <t>Indoor - Total</t>
  </si>
  <si>
    <t>Outdoor - Economic</t>
  </si>
  <si>
    <t>Outdoor - Fiscal</t>
  </si>
  <si>
    <t>Outdoor - Total</t>
  </si>
  <si>
    <t>Total costs</t>
  </si>
  <si>
    <t>Indoor % of Tot</t>
  </si>
  <si>
    <t>Outdoor % of Tot</t>
  </si>
  <si>
    <t>n/a</t>
  </si>
  <si>
    <t>The counter-factual</t>
  </si>
  <si>
    <t>PM assumed to be negligible so set to zero</t>
  </si>
  <si>
    <t>Assumed same as non-NES woodburner</t>
  </si>
  <si>
    <t>Assumed no outdoor emissions</t>
  </si>
  <si>
    <r>
      <t>NO</t>
    </r>
    <r>
      <rPr>
        <vertAlign val="subscript"/>
        <sz val="10"/>
        <rFont val="Calibri"/>
        <family val="2"/>
      </rPr>
      <t>2</t>
    </r>
    <r>
      <rPr>
        <sz val="10"/>
        <rFont val="Calibri"/>
        <family val="2"/>
      </rPr>
      <t xml:space="preserve"> assumed to be negligible indoors so set to zero</t>
    </r>
  </si>
  <si>
    <r>
      <t>Total (PM</t>
    </r>
    <r>
      <rPr>
        <b/>
        <vertAlign val="subscript"/>
        <sz val="10"/>
        <rFont val="Calibri"/>
        <family val="2"/>
      </rPr>
      <t>2.5</t>
    </r>
    <r>
      <rPr>
        <b/>
        <sz val="10"/>
        <rFont val="Calibri"/>
        <family val="2"/>
      </rPr>
      <t>+NO</t>
    </r>
    <r>
      <rPr>
        <b/>
        <vertAlign val="subscript"/>
        <sz val="10"/>
        <rFont val="Calibri"/>
        <family val="2"/>
      </rPr>
      <t>2</t>
    </r>
    <r>
      <rPr>
        <b/>
        <sz val="10"/>
        <rFont val="Calibri"/>
        <family val="2"/>
      </rPr>
      <t>)</t>
    </r>
  </si>
  <si>
    <t>Scenario - user selection</t>
  </si>
  <si>
    <t>This sheet generates/presents the tables used in the report.</t>
  </si>
  <si>
    <r>
      <t>Note:</t>
    </r>
    <r>
      <rPr>
        <sz val="9"/>
        <color theme="4"/>
        <rFont val="Calibri"/>
        <family val="2"/>
      </rPr>
      <t xml:space="preserve"> Some of the values shown have been hard copied from the scenario modelling</t>
    </r>
  </si>
  <si>
    <r>
      <t>Table 12:</t>
    </r>
    <r>
      <rPr>
        <sz val="10"/>
        <color theme="1"/>
        <rFont val="Calibri"/>
        <family val="2"/>
      </rPr>
      <t xml:space="preserve">  Annual indoor air pollution costs</t>
    </r>
    <r>
      <rPr>
        <b/>
        <sz val="10"/>
        <color theme="1"/>
        <rFont val="Calibri"/>
        <family val="2"/>
      </rPr>
      <t xml:space="preserve"> </t>
    </r>
    <r>
      <rPr>
        <b/>
        <sz val="10"/>
        <color rgb="FFFF0000"/>
        <rFont val="Calibri"/>
        <family val="2"/>
      </rPr>
      <t>per household</t>
    </r>
  </si>
  <si>
    <r>
      <t>Annual Indoor Air Pollution (PM</t>
    </r>
    <r>
      <rPr>
        <b/>
        <vertAlign val="subscript"/>
        <sz val="10"/>
        <color rgb="FF000000"/>
        <rFont val="Calibri"/>
        <family val="2"/>
      </rPr>
      <t>2.5</t>
    </r>
    <r>
      <rPr>
        <b/>
        <sz val="10"/>
        <color rgb="FF000000"/>
        <rFont val="Calibri"/>
        <family val="2"/>
      </rPr>
      <t xml:space="preserve"> + NO</t>
    </r>
    <r>
      <rPr>
        <b/>
        <vertAlign val="subscript"/>
        <sz val="10"/>
        <color rgb="FF000000"/>
        <rFont val="Calibri"/>
        <family val="2"/>
      </rPr>
      <t>2</t>
    </r>
    <r>
      <rPr>
        <b/>
        <sz val="10"/>
        <color rgb="FF000000"/>
        <rFont val="Calibri"/>
        <family val="2"/>
      </rPr>
      <t>) Costs (2025$)</t>
    </r>
  </si>
  <si>
    <t>Economic</t>
  </si>
  <si>
    <t>Fiscal</t>
  </si>
  <si>
    <t>Total</t>
  </si>
  <si>
    <t>Wood burner type 1b (non-NES)</t>
  </si>
  <si>
    <t>Wood burner type 3 (ultra-low emissions)</t>
  </si>
  <si>
    <r>
      <t>Table 13:</t>
    </r>
    <r>
      <rPr>
        <sz val="10"/>
        <color theme="1"/>
        <rFont val="Calibri"/>
        <family val="2"/>
      </rPr>
      <t xml:space="preserve">  Annual outdoor air pollution costs</t>
    </r>
    <r>
      <rPr>
        <b/>
        <sz val="10"/>
        <color theme="1"/>
        <rFont val="Calibri"/>
        <family val="2"/>
      </rPr>
      <t xml:space="preserve"> </t>
    </r>
    <r>
      <rPr>
        <b/>
        <sz val="10"/>
        <color rgb="FFFF0000"/>
        <rFont val="Calibri"/>
        <family val="2"/>
      </rPr>
      <t>per household</t>
    </r>
  </si>
  <si>
    <r>
      <t>Annual Outdoor Air Pollution (PM</t>
    </r>
    <r>
      <rPr>
        <b/>
        <vertAlign val="subscript"/>
        <sz val="10"/>
        <color rgb="FF000000"/>
        <rFont val="Calibri"/>
        <family val="2"/>
      </rPr>
      <t>2.5</t>
    </r>
    <r>
      <rPr>
        <b/>
        <sz val="10"/>
        <color rgb="FF000000"/>
        <rFont val="Calibri"/>
        <family val="2"/>
      </rPr>
      <t xml:space="preserve"> + NO</t>
    </r>
    <r>
      <rPr>
        <b/>
        <vertAlign val="subscript"/>
        <sz val="10"/>
        <color rgb="FF000000"/>
        <rFont val="Calibri"/>
        <family val="2"/>
      </rPr>
      <t>X</t>
    </r>
    <r>
      <rPr>
        <b/>
        <sz val="10"/>
        <color rgb="FF000000"/>
        <rFont val="Calibri"/>
        <family val="2"/>
      </rPr>
      <t>) Costs (2025$)</t>
    </r>
  </si>
  <si>
    <r>
      <t>Table 14:</t>
    </r>
    <r>
      <rPr>
        <sz val="10"/>
        <color theme="1"/>
        <rFont val="Calibri"/>
        <family val="2"/>
      </rPr>
      <t xml:space="preserve">  Indoor air pollution as a fraction of the total (indoor+outdoor) annual costs</t>
    </r>
  </si>
  <si>
    <t xml:space="preserve">Indoor Fraction of Total (Indoor + Outdoor) Annual Air Pollution Costs </t>
  </si>
  <si>
    <r>
      <t>Table 15:</t>
    </r>
    <r>
      <rPr>
        <sz val="10"/>
        <color theme="1"/>
        <rFont val="Calibri"/>
        <family val="2"/>
      </rPr>
      <t xml:space="preserve">  New Zealand annual indoor air pollution impacts by appliance </t>
    </r>
    <r>
      <rPr>
        <i/>
        <sz val="10"/>
        <color theme="1"/>
        <rFont val="Calibri"/>
        <family val="2"/>
      </rPr>
      <t>(estimated number of appliances)</t>
    </r>
    <r>
      <rPr>
        <sz val="10"/>
        <color theme="1"/>
        <rFont val="Calibri"/>
        <family val="2"/>
      </rPr>
      <t xml:space="preserve"> </t>
    </r>
    <r>
      <rPr>
        <b/>
        <sz val="10"/>
        <color rgb="FFFF0000"/>
        <rFont val="Calibri"/>
        <family val="2"/>
      </rPr>
      <t>across New Zealand</t>
    </r>
  </si>
  <si>
    <t>No of cases per modelled health outcome</t>
  </si>
  <si>
    <t>Gas Stoves</t>
  </si>
  <si>
    <t>Wood Burners</t>
  </si>
  <si>
    <t>Unflued Gas Heaters</t>
  </si>
  <si>
    <t>Premature mortality (&gt;30 years)</t>
  </si>
  <si>
    <t>Cardiovascular hospitalisations (all ages)</t>
  </si>
  <si>
    <t>Respiratory hospitalisations (all ages)</t>
  </si>
  <si>
    <t>Restricted activity days (all ages)</t>
  </si>
  <si>
    <t>Asthma prevalence (&lt;18 years)</t>
  </si>
  <si>
    <t>2-14 yr old asthma (NZHS)</t>
  </si>
  <si>
    <t>&lt; 18 yrs (HAPINZ)</t>
  </si>
  <si>
    <r>
      <t>Table 16:</t>
    </r>
    <r>
      <rPr>
        <sz val="10"/>
        <color theme="1"/>
        <rFont val="Calibri"/>
        <family val="2"/>
      </rPr>
      <t xml:space="preserve">  Annual indoor and outdoor air pollution costs</t>
    </r>
    <r>
      <rPr>
        <b/>
        <sz val="10"/>
        <color theme="1"/>
        <rFont val="Calibri"/>
        <family val="2"/>
      </rPr>
      <t xml:space="preserve"> </t>
    </r>
    <r>
      <rPr>
        <b/>
        <sz val="10"/>
        <color rgb="FFFF0000"/>
        <rFont val="Calibri"/>
        <family val="2"/>
      </rPr>
      <t>across New Zealand</t>
    </r>
  </si>
  <si>
    <t>Estimated No.</t>
  </si>
  <si>
    <r>
      <t>Total Air Pollution (PM</t>
    </r>
    <r>
      <rPr>
        <b/>
        <vertAlign val="subscript"/>
        <sz val="10"/>
        <color rgb="FF000000"/>
        <rFont val="Calibri"/>
        <family val="2"/>
      </rPr>
      <t>2.5</t>
    </r>
    <r>
      <rPr>
        <b/>
        <sz val="10"/>
        <color rgb="FF000000"/>
        <rFont val="Calibri"/>
        <family val="2"/>
      </rPr>
      <t xml:space="preserve"> + NO</t>
    </r>
    <r>
      <rPr>
        <b/>
        <vertAlign val="subscript"/>
        <sz val="10"/>
        <color rgb="FF000000"/>
        <rFont val="Calibri"/>
        <family val="2"/>
      </rPr>
      <t>2</t>
    </r>
    <r>
      <rPr>
        <b/>
        <sz val="10"/>
        <color rgb="FF000000"/>
        <rFont val="Calibri"/>
        <family val="2"/>
      </rPr>
      <t>) Costs (2025$</t>
    </r>
    <r>
      <rPr>
        <b/>
        <sz val="10"/>
        <color rgb="FFFF0000"/>
        <rFont val="Calibri"/>
        <family val="2"/>
      </rPr>
      <t>M</t>
    </r>
    <r>
      <rPr>
        <b/>
        <sz val="10"/>
        <color rgb="FF000000"/>
        <rFont val="Calibri"/>
        <family val="2"/>
      </rPr>
      <t>)</t>
    </r>
  </si>
  <si>
    <t>Appliances</t>
  </si>
  <si>
    <t>Indoor</t>
  </si>
  <si>
    <t>Outdoor</t>
  </si>
  <si>
    <t>no of electric stoves assumed to be total no of occupied dwellings less no of gas stoves</t>
  </si>
  <si>
    <t>New Zealand total</t>
  </si>
  <si>
    <r>
      <t>Table 17:</t>
    </r>
    <r>
      <rPr>
        <sz val="10"/>
        <color theme="1"/>
        <rFont val="Calibri"/>
        <family val="2"/>
      </rPr>
      <t xml:space="preserve">  Effect of exposure increments on the total annual indoor air pollution costs by appliance</t>
    </r>
  </si>
  <si>
    <t>Total Annual Indoor Air Pollution Costs (2025$)</t>
  </si>
  <si>
    <t>% Diff</t>
  </si>
  <si>
    <t>Central</t>
  </si>
  <si>
    <t>Low/High results hard copied</t>
  </si>
  <si>
    <r>
      <t>Table 18:</t>
    </r>
    <r>
      <rPr>
        <sz val="10"/>
        <color theme="1"/>
        <rFont val="Calibri"/>
        <family val="2"/>
      </rPr>
      <t xml:space="preserve">  Effect of household composition on the total annual indoor air pollution costs by appliance</t>
    </r>
  </si>
  <si>
    <t>Exposure response functions</t>
  </si>
  <si>
    <t>This sheet contains the relative exposure response factors (ERFs), with their confidence intervals (CI), for each health effect assessed in the model</t>
  </si>
  <si>
    <r>
      <rPr>
        <b/>
        <sz val="9"/>
        <color theme="4"/>
        <rFont val="Calibri"/>
        <family val="2"/>
      </rPr>
      <t xml:space="preserve">Note: </t>
    </r>
    <r>
      <rPr>
        <sz val="9"/>
        <color theme="4"/>
        <rFont val="Calibri"/>
        <family val="2"/>
      </rPr>
      <t xml:space="preserve">The source for each ERF is shown in this sheet and described in full in the </t>
    </r>
    <r>
      <rPr>
        <b/>
        <sz val="9"/>
        <color theme="4"/>
        <rFont val="Calibri"/>
        <family val="2"/>
      </rPr>
      <t>References</t>
    </r>
    <r>
      <rPr>
        <sz val="9"/>
        <color theme="4"/>
        <rFont val="Calibri"/>
        <family val="2"/>
      </rPr>
      <t xml:space="preserve"> worksheet.</t>
    </r>
  </si>
  <si>
    <t>Relative risk factor</t>
  </si>
  <si>
    <t>Reference</t>
  </si>
  <si>
    <t>Other comments</t>
  </si>
  <si>
    <r>
      <t xml:space="preserve">Hales </t>
    </r>
    <r>
      <rPr>
        <i/>
        <sz val="10"/>
        <rFont val="Calibri"/>
        <family val="2"/>
      </rPr>
      <t>et al</t>
    </r>
    <r>
      <rPr>
        <sz val="10"/>
        <rFont val="Calibri"/>
        <family val="2"/>
      </rPr>
      <t xml:space="preserve"> (2021), in HAPINZ 3.0</t>
    </r>
  </si>
  <si>
    <t>High/Low are the 95% CI</t>
  </si>
  <si>
    <t>ALA (1995) based on Ostro (1987), in HAPINZ 3.0</t>
  </si>
  <si>
    <t>High/Low are upper/lower bounds</t>
  </si>
  <si>
    <r>
      <t xml:space="preserve">  *Asthma/wheeze hospitalisations for 0-18 year olds d</t>
    </r>
    <r>
      <rPr>
        <sz val="10"/>
        <rFont val="Calibri"/>
        <family val="2"/>
      </rPr>
      <t>ue to annual NO</t>
    </r>
    <r>
      <rPr>
        <vertAlign val="subscript"/>
        <sz val="10"/>
        <rFont val="Calibri"/>
        <family val="2"/>
      </rPr>
      <t>2</t>
    </r>
    <r>
      <rPr>
        <sz val="10"/>
        <rFont val="Calibri"/>
        <family val="2"/>
      </rPr>
      <t xml:space="preserve"> exposure</t>
    </r>
  </si>
  <si>
    <r>
      <rPr>
        <sz val="10"/>
        <rFont val="Calibri"/>
        <family val="2"/>
      </rPr>
      <t xml:space="preserve">Khreis </t>
    </r>
    <r>
      <rPr>
        <i/>
        <sz val="10"/>
        <rFont val="Calibri"/>
        <family val="2"/>
      </rPr>
      <t>et al</t>
    </r>
    <r>
      <rPr>
        <sz val="10"/>
        <rFont val="Calibri"/>
        <family val="2"/>
      </rPr>
      <t xml:space="preserve"> (2017), in HAPINZ 3.0</t>
    </r>
  </si>
  <si>
    <t>Cross check of appropriateness of child asthma prevalence ERF</t>
  </si>
  <si>
    <r>
      <t xml:space="preserve">Puzzolo et al (2024) stated the small increased risk of asthma in children for use of gas vs electricity was not significant (OR 1.09, 0.99-1.19, </t>
    </r>
    <r>
      <rPr>
        <i/>
        <sz val="10"/>
        <color theme="1"/>
        <rFont val="Calibri"/>
        <family val="2"/>
      </rPr>
      <t>p</t>
    </r>
    <r>
      <rPr>
        <sz val="10"/>
        <color theme="1"/>
        <rFont val="Calibri"/>
        <family val="2"/>
      </rPr>
      <t xml:space="preserve">=0.071).  </t>
    </r>
    <r>
      <rPr>
        <i/>
        <sz val="10"/>
        <color theme="1"/>
        <rFont val="Calibri"/>
        <family val="2"/>
      </rPr>
      <t>p</t>
    </r>
    <r>
      <rPr>
        <sz val="10"/>
        <color theme="1"/>
        <rFont val="Calibri"/>
        <family val="2"/>
      </rPr>
      <t xml:space="preserve"> would have to be 0.05 or smaller to be statistically significant.</t>
    </r>
  </si>
  <si>
    <t>However, it can be used as a reality check.</t>
  </si>
  <si>
    <r>
      <rPr>
        <sz val="10"/>
        <color rgb="FF0070C0"/>
        <rFont val="Calibri"/>
        <family val="2"/>
      </rPr>
      <t xml:space="preserve">Puzzolo </t>
    </r>
    <r>
      <rPr>
        <i/>
        <sz val="10"/>
        <color rgb="FF0070C0"/>
        <rFont val="Calibri"/>
        <family val="2"/>
      </rPr>
      <t xml:space="preserve">et al </t>
    </r>
    <r>
      <rPr>
        <sz val="10"/>
        <color rgb="FF0070C0"/>
        <rFont val="Calibri"/>
        <family val="2"/>
      </rPr>
      <t>(2024)</t>
    </r>
  </si>
  <si>
    <t>OR</t>
  </si>
  <si>
    <t xml:space="preserve"> per gas appliance</t>
  </si>
  <si>
    <t>odds ratio, with p=0.071</t>
  </si>
  <si>
    <t>RR=OR/(1-p+(p*OR))</t>
  </si>
  <si>
    <t>bounds if apply same formula</t>
  </si>
  <si>
    <r>
      <rPr>
        <sz val="10"/>
        <color theme="0" tint="-0.499984740745262"/>
        <rFont val="Calibri"/>
        <family val="2"/>
      </rPr>
      <t xml:space="preserve">Kashtan </t>
    </r>
    <r>
      <rPr>
        <i/>
        <sz val="10"/>
        <color theme="0" tint="-0.499984740745262"/>
        <rFont val="Calibri"/>
        <family val="2"/>
      </rPr>
      <t>et al</t>
    </r>
    <r>
      <rPr>
        <sz val="10"/>
        <color theme="0" tint="-0.499984740745262"/>
        <rFont val="Calibri"/>
        <family val="2"/>
      </rPr>
      <t xml:space="preserve"> (2024) which uses</t>
    </r>
    <r>
      <rPr>
        <sz val="10"/>
        <color theme="1"/>
        <rFont val="Calibri"/>
        <family val="2"/>
      </rPr>
      <t xml:space="preserve"> </t>
    </r>
    <r>
      <rPr>
        <sz val="10"/>
        <color theme="8"/>
        <rFont val="Calibri"/>
        <family val="2"/>
      </rPr>
      <t xml:space="preserve">Lin </t>
    </r>
    <r>
      <rPr>
        <i/>
        <sz val="10"/>
        <color theme="8"/>
        <rFont val="Calibri"/>
        <family val="2"/>
      </rPr>
      <t>et al</t>
    </r>
    <r>
      <rPr>
        <sz val="10"/>
        <color theme="8"/>
        <rFont val="Calibri"/>
        <family val="2"/>
      </rPr>
      <t xml:space="preserve"> (2013)</t>
    </r>
  </si>
  <si>
    <r>
      <t xml:space="preserve"> per 15 ppb NO</t>
    </r>
    <r>
      <rPr>
        <vertAlign val="subscript"/>
        <sz val="9"/>
        <color theme="1"/>
        <rFont val="Calibri"/>
        <family val="2"/>
      </rPr>
      <t>2</t>
    </r>
  </si>
  <si>
    <t>odds ratio, with p=0.395</t>
  </si>
  <si>
    <t>15ppb NO2</t>
  </si>
  <si>
    <r>
      <t>30.76 µg/m</t>
    </r>
    <r>
      <rPr>
        <vertAlign val="superscript"/>
        <sz val="10"/>
        <color theme="1"/>
        <rFont val="Calibri"/>
        <family val="2"/>
      </rPr>
      <t>3</t>
    </r>
  </si>
  <si>
    <t>at 0°C and 1 atm</t>
  </si>
  <si>
    <r>
      <t>converting ppb to µg/m</t>
    </r>
    <r>
      <rPr>
        <vertAlign val="superscript"/>
        <sz val="10"/>
        <color theme="1"/>
        <rFont val="Calibri"/>
        <family val="2"/>
      </rPr>
      <t>3</t>
    </r>
  </si>
  <si>
    <r>
      <t xml:space="preserve"> per 30.76 µg/m</t>
    </r>
    <r>
      <rPr>
        <vertAlign val="superscript"/>
        <sz val="9"/>
        <color theme="8"/>
        <rFont val="Calibri"/>
        <family val="2"/>
      </rPr>
      <t>3</t>
    </r>
    <r>
      <rPr>
        <sz val="9"/>
        <color theme="8"/>
        <rFont val="Calibri"/>
        <family val="2"/>
      </rPr>
      <t xml:space="preserve"> NO</t>
    </r>
    <r>
      <rPr>
        <vertAlign val="subscript"/>
        <sz val="9"/>
        <color theme="8"/>
        <rFont val="Calibri"/>
        <family val="2"/>
      </rPr>
      <t>2</t>
    </r>
  </si>
  <si>
    <r>
      <t xml:space="preserve">Khreis </t>
    </r>
    <r>
      <rPr>
        <i/>
        <sz val="10"/>
        <color rgb="FF00B050"/>
        <rFont val="Calibri"/>
        <family val="2"/>
      </rPr>
      <t>et al</t>
    </r>
    <r>
      <rPr>
        <sz val="10"/>
        <color rgb="FF00B050"/>
        <rFont val="Calibri"/>
        <family val="2"/>
      </rPr>
      <t xml:space="preserve"> (2017) used in HAPINZ 3</t>
    </r>
  </si>
  <si>
    <r>
      <t xml:space="preserve"> per 4 µg/m</t>
    </r>
    <r>
      <rPr>
        <vertAlign val="superscript"/>
        <sz val="9"/>
        <color theme="1"/>
        <rFont val="Calibri"/>
        <family val="2"/>
      </rPr>
      <t>3</t>
    </r>
    <r>
      <rPr>
        <sz val="9"/>
        <color theme="1"/>
        <rFont val="Calibri"/>
        <family val="2"/>
      </rPr>
      <t xml:space="preserve"> NO</t>
    </r>
    <r>
      <rPr>
        <vertAlign val="subscript"/>
        <sz val="9"/>
        <color theme="1"/>
        <rFont val="Calibri"/>
        <family val="2"/>
      </rPr>
      <t>2</t>
    </r>
  </si>
  <si>
    <t>odds ratio, with p=0.0001</t>
  </si>
  <si>
    <r>
      <t xml:space="preserve"> per 4 µg/m</t>
    </r>
    <r>
      <rPr>
        <vertAlign val="superscript"/>
        <sz val="9"/>
        <color rgb="FF00B050"/>
        <rFont val="Calibri"/>
        <family val="2"/>
      </rPr>
      <t>3</t>
    </r>
    <r>
      <rPr>
        <sz val="9"/>
        <color rgb="FF00B050"/>
        <rFont val="Calibri"/>
        <family val="2"/>
      </rPr>
      <t xml:space="preserve"> NO</t>
    </r>
    <r>
      <rPr>
        <vertAlign val="subscript"/>
        <sz val="9"/>
        <color rgb="FF00B050"/>
        <rFont val="Calibri"/>
        <family val="2"/>
      </rPr>
      <t>2</t>
    </r>
  </si>
  <si>
    <t xml:space="preserve">The fraction of total cases attributable to exposure to NO2 indoors from the appliance can be calculated from </t>
  </si>
  <si>
    <t xml:space="preserve"> PAF=[(RR-1)*E]/[((RR-1)*E)+1]</t>
  </si>
  <si>
    <r>
      <t>If NO</t>
    </r>
    <r>
      <rPr>
        <vertAlign val="subscript"/>
        <sz val="10"/>
        <color theme="1"/>
        <rFont val="Calibri"/>
        <family val="2"/>
      </rPr>
      <t>2</t>
    </r>
    <r>
      <rPr>
        <sz val="10"/>
        <color theme="1"/>
        <rFont val="Calibri"/>
        <family val="2"/>
      </rPr>
      <t xml:space="preserve"> annual increment (seasonally adjusted) in µg/m</t>
    </r>
    <r>
      <rPr>
        <vertAlign val="superscript"/>
        <sz val="10"/>
        <color theme="1"/>
        <rFont val="Calibri"/>
        <family val="2"/>
      </rPr>
      <t>3</t>
    </r>
    <r>
      <rPr>
        <sz val="10"/>
        <color theme="1"/>
        <rFont val="Calibri"/>
        <family val="2"/>
      </rPr>
      <t xml:space="preserve"> = </t>
    </r>
  </si>
  <si>
    <t xml:space="preserve">and children/h'hold = </t>
  </si>
  <si>
    <r>
      <t xml:space="preserve">PAF for cases - Puzzolo </t>
    </r>
    <r>
      <rPr>
        <i/>
        <sz val="10"/>
        <color theme="1"/>
        <rFont val="Calibri"/>
        <family val="2"/>
      </rPr>
      <t xml:space="preserve">et al </t>
    </r>
    <r>
      <rPr>
        <sz val="10"/>
        <color theme="1"/>
        <rFont val="Calibri"/>
        <family val="2"/>
      </rPr>
      <t>(2024)</t>
    </r>
  </si>
  <si>
    <t>per appliance/household</t>
  </si>
  <si>
    <r>
      <t xml:space="preserve">PAF for cases - Khreis </t>
    </r>
    <r>
      <rPr>
        <i/>
        <sz val="10"/>
        <color theme="1"/>
        <rFont val="Calibri"/>
        <family val="2"/>
      </rPr>
      <t>et al</t>
    </r>
    <r>
      <rPr>
        <sz val="10"/>
        <color theme="1"/>
        <rFont val="Calibri"/>
        <family val="2"/>
      </rPr>
      <t xml:space="preserve"> (2017) from HAPINZ = </t>
    </r>
  </si>
  <si>
    <t>if 2 children</t>
  </si>
  <si>
    <t>if use low CI</t>
  </si>
  <si>
    <r>
      <t xml:space="preserve">PAF for cases - Lin </t>
    </r>
    <r>
      <rPr>
        <i/>
        <sz val="10"/>
        <color theme="1"/>
        <rFont val="Calibri"/>
        <family val="2"/>
      </rPr>
      <t>et al</t>
    </r>
    <r>
      <rPr>
        <sz val="10"/>
        <color theme="1"/>
        <rFont val="Calibri"/>
        <family val="2"/>
      </rPr>
      <t xml:space="preserve"> (2013) = </t>
    </r>
  </si>
  <si>
    <t>really low</t>
  </si>
  <si>
    <t>if use high CI</t>
  </si>
  <si>
    <r>
      <t>Therefore, retaining the HAPINZ ERF for asthma (Khreis</t>
    </r>
    <r>
      <rPr>
        <b/>
        <i/>
        <sz val="10"/>
        <color rgb="FF00B050"/>
        <rFont val="Calibri"/>
        <family val="2"/>
      </rPr>
      <t xml:space="preserve"> et al</t>
    </r>
    <r>
      <rPr>
        <b/>
        <sz val="10"/>
        <color rgb="FF00B050"/>
        <rFont val="Calibri"/>
        <family val="2"/>
      </rPr>
      <t xml:space="preserve"> 2017) is reasonable.</t>
    </r>
  </si>
  <si>
    <t>This sheet contains the economic and fiscal costs estimated per health outcome (case), with their range, in NZD as at June 2025</t>
  </si>
  <si>
    <r>
      <rPr>
        <b/>
        <sz val="9"/>
        <color theme="4"/>
        <rFont val="Calibri"/>
        <family val="2"/>
      </rPr>
      <t xml:space="preserve">Note: </t>
    </r>
    <r>
      <rPr>
        <sz val="9"/>
        <color theme="4"/>
        <rFont val="Calibri"/>
        <family val="2"/>
      </rPr>
      <t xml:space="preserve">The sources used to estimate each  cost are shown in this sheet and described in full in the </t>
    </r>
    <r>
      <rPr>
        <b/>
        <sz val="9"/>
        <color theme="4"/>
        <rFont val="Calibri"/>
        <family val="2"/>
      </rPr>
      <t>References</t>
    </r>
    <r>
      <rPr>
        <sz val="9"/>
        <color theme="4"/>
        <rFont val="Calibri"/>
        <family val="2"/>
      </rPr>
      <t xml:space="preserve"> worksheet.  All assumptions are clearly stated.</t>
    </r>
  </si>
  <si>
    <r>
      <t xml:space="preserve">Denne </t>
    </r>
    <r>
      <rPr>
        <i/>
        <sz val="10"/>
        <rFont val="Calibri"/>
        <family val="2"/>
      </rPr>
      <t>et al</t>
    </r>
    <r>
      <rPr>
        <sz val="10"/>
        <rFont val="Calibri"/>
        <family val="2"/>
      </rPr>
      <t xml:space="preserve"> (2023) VoSL updated using CBAx methodology</t>
    </r>
  </si>
  <si>
    <t>Economic cost, unlagged values, High/Low based on VoSL study</t>
  </si>
  <si>
    <r>
      <t xml:space="preserve">Denne et al (2023) VoSL used to update Kuschel </t>
    </r>
    <r>
      <rPr>
        <i/>
        <sz val="10"/>
        <rFont val="Calibri"/>
        <family val="2"/>
      </rPr>
      <t>et al</t>
    </r>
    <r>
      <rPr>
        <sz val="10"/>
        <rFont val="Calibri"/>
        <family val="2"/>
      </rPr>
      <t xml:space="preserve"> (2022) VoLY</t>
    </r>
  </si>
  <si>
    <t>Economic cost, Low scaled as per HAPINZ 3.0, High as per VoSL</t>
  </si>
  <si>
    <r>
      <t xml:space="preserve">Kuschel </t>
    </r>
    <r>
      <rPr>
        <i/>
        <sz val="10"/>
        <rFont val="Calibri"/>
        <family val="2"/>
      </rPr>
      <t xml:space="preserve">et al </t>
    </r>
    <r>
      <rPr>
        <sz val="10"/>
        <rFont val="Calibri"/>
        <family val="2"/>
      </rPr>
      <t>(2022) value updated using CBAx methodology</t>
    </r>
  </si>
  <si>
    <t>Fiscal cost, High/Low scaled as per HAPINZ 3.0</t>
  </si>
  <si>
    <t>Background from T Denne's Updated Economic Analysis</t>
  </si>
  <si>
    <t>Table 3 Updated values per case (2025$)</t>
  </si>
  <si>
    <r>
      <t xml:space="preserve">Values shown in input </t>
    </r>
    <r>
      <rPr>
        <b/>
        <sz val="10"/>
        <color theme="4"/>
        <rFont val="Calibri"/>
        <family val="2"/>
      </rPr>
      <t xml:space="preserve">table above unlagged </t>
    </r>
    <r>
      <rPr>
        <sz val="10"/>
        <color theme="4"/>
        <rFont val="Calibri"/>
        <family val="2"/>
      </rPr>
      <t>ones</t>
    </r>
  </si>
  <si>
    <t>Health Outcome</t>
  </si>
  <si>
    <t>HAPINZ 3.0 value (2019 $)</t>
  </si>
  <si>
    <r>
      <t>Multiplier</t>
    </r>
    <r>
      <rPr>
        <vertAlign val="superscript"/>
        <sz val="10"/>
        <color rgb="FF000000"/>
        <rFont val="Calibri"/>
        <family val="2"/>
      </rPr>
      <t>1</t>
    </r>
  </si>
  <si>
    <t>Central value</t>
  </si>
  <si>
    <t>VoSL</t>
  </si>
  <si>
    <t>$/premature death</t>
  </si>
  <si>
    <t>economic</t>
  </si>
  <si>
    <t>VoLY</t>
  </si>
  <si>
    <t>$/years of life lost</t>
  </si>
  <si>
    <t>CVHA</t>
  </si>
  <si>
    <t>$/admission</t>
  </si>
  <si>
    <t>fiscal</t>
  </si>
  <si>
    <t>RHA</t>
  </si>
  <si>
    <t>RAD</t>
  </si>
  <si>
    <t>$/RAD</t>
  </si>
  <si>
    <t>*Asthma hospitalisation (subset of RHA)</t>
  </si>
  <si>
    <t>$/case</t>
  </si>
  <si>
    <t>Asthma prevalence</t>
  </si>
  <si>
    <r>
      <t>1</t>
    </r>
    <r>
      <rPr>
        <sz val="9"/>
        <color theme="1"/>
        <rFont val="Calibri"/>
        <family val="2"/>
      </rPr>
      <t xml:space="preserve"> The multipliers are rounded in the table. They are derived from the following values of GDP (as found in CBAx) for 2019, 2021 and 2025 respectively (in $million): $310,149; $342,989;  $430,568 </t>
    </r>
  </si>
  <si>
    <t>Table 5 VoSL and VoLY values for policy analysis using the US EPA lag structure</t>
  </si>
  <si>
    <t>Central unlagged</t>
  </si>
  <si>
    <t>Central lagged</t>
  </si>
  <si>
    <t>Low lagged</t>
  </si>
  <si>
    <t>High lagged</t>
  </si>
  <si>
    <t xml:space="preserve">VoSL </t>
  </si>
  <si>
    <t xml:space="preserve">VoLY </t>
  </si>
  <si>
    <t>Annual increments</t>
  </si>
  <si>
    <r>
      <t>This sheet presents the PM</t>
    </r>
    <r>
      <rPr>
        <vertAlign val="subscript"/>
        <sz val="10"/>
        <color theme="1"/>
        <rFont val="Calibri"/>
        <family val="2"/>
      </rPr>
      <t>2.5</t>
    </r>
    <r>
      <rPr>
        <sz val="10"/>
        <color theme="1"/>
        <rFont val="Calibri"/>
        <family val="2"/>
      </rPr>
      <t xml:space="preserve"> and NO</t>
    </r>
    <r>
      <rPr>
        <vertAlign val="subscript"/>
        <sz val="10"/>
        <color theme="1"/>
        <rFont val="Calibri"/>
        <family val="2"/>
      </rPr>
      <t>2</t>
    </r>
    <r>
      <rPr>
        <sz val="10"/>
        <color theme="1"/>
        <rFont val="Calibri"/>
        <family val="2"/>
      </rPr>
      <t xml:space="preserve"> annual concentration increments estimated for each indoor combustion appliance from the literature review, with low/high values indicated.</t>
    </r>
  </si>
  <si>
    <r>
      <rPr>
        <b/>
        <sz val="9"/>
        <color theme="4"/>
        <rFont val="Calibri"/>
        <family val="2"/>
      </rPr>
      <t xml:space="preserve">Note: </t>
    </r>
    <r>
      <rPr>
        <sz val="9"/>
        <color theme="4"/>
        <rFont val="Calibri"/>
        <family val="2"/>
      </rPr>
      <t xml:space="preserve">The sources used to estimate each increment are shown in this sheet and described in full in the </t>
    </r>
    <r>
      <rPr>
        <b/>
        <sz val="9"/>
        <color theme="4"/>
        <rFont val="Calibri"/>
        <family val="2"/>
      </rPr>
      <t>References</t>
    </r>
    <r>
      <rPr>
        <sz val="9"/>
        <color theme="4"/>
        <rFont val="Calibri"/>
        <family val="2"/>
      </rPr>
      <t xml:space="preserve"> worksheet.  All assumptions are clearly stated.</t>
    </r>
  </si>
  <si>
    <r>
      <t xml:space="preserve">Vicente </t>
    </r>
    <r>
      <rPr>
        <i/>
        <sz val="10"/>
        <rFont val="Calibri"/>
        <family val="2"/>
      </rPr>
      <t xml:space="preserve">et al </t>
    </r>
    <r>
      <rPr>
        <sz val="10"/>
        <rFont val="Calibri"/>
        <family val="2"/>
      </rPr>
      <t>(2020) for Default, with Low /High based on 95% CIs</t>
    </r>
  </si>
  <si>
    <r>
      <t xml:space="preserve">Seasonal fuel use from Wilton </t>
    </r>
    <r>
      <rPr>
        <i/>
        <sz val="10"/>
        <rFont val="Calibri"/>
        <family val="2"/>
      </rPr>
      <t>et al</t>
    </r>
    <r>
      <rPr>
        <sz val="10"/>
        <rFont val="Calibri"/>
        <family val="2"/>
      </rPr>
      <t xml:space="preserve"> (2015)</t>
    </r>
  </si>
  <si>
    <r>
      <t xml:space="preserve">Avg Vicente </t>
    </r>
    <r>
      <rPr>
        <i/>
        <sz val="10"/>
        <rFont val="Calibri"/>
        <family val="2"/>
      </rPr>
      <t>et al</t>
    </r>
    <r>
      <rPr>
        <sz val="10"/>
        <rFont val="Calibri"/>
        <family val="2"/>
      </rPr>
      <t xml:space="preserve"> (2020), Fleisch </t>
    </r>
    <r>
      <rPr>
        <i/>
        <sz val="10"/>
        <rFont val="Calibri"/>
        <family val="2"/>
      </rPr>
      <t xml:space="preserve">et al </t>
    </r>
    <r>
      <rPr>
        <sz val="10"/>
        <rFont val="Calibri"/>
        <family val="2"/>
      </rPr>
      <t xml:space="preserve">(2019) &amp; Wyss </t>
    </r>
    <r>
      <rPr>
        <i/>
        <sz val="10"/>
        <rFont val="Calibri"/>
        <family val="2"/>
      </rPr>
      <t>et al</t>
    </r>
    <r>
      <rPr>
        <sz val="10"/>
        <rFont val="Calibri"/>
        <family val="2"/>
      </rPr>
      <t xml:space="preserve"> (2016) for Default, Vicente </t>
    </r>
    <r>
      <rPr>
        <i/>
        <sz val="10"/>
        <rFont val="Calibri"/>
        <family val="2"/>
      </rPr>
      <t>et al</t>
    </r>
    <r>
      <rPr>
        <sz val="10"/>
        <rFont val="Calibri"/>
        <family val="2"/>
      </rPr>
      <t xml:space="preserve"> (2020) for Low/High</t>
    </r>
  </si>
  <si>
    <r>
      <t xml:space="preserve">Avg of Chakraborty </t>
    </r>
    <r>
      <rPr>
        <i/>
        <sz val="10"/>
        <rFont val="Calibri"/>
        <family val="2"/>
      </rPr>
      <t>et al</t>
    </r>
    <r>
      <rPr>
        <sz val="10"/>
        <rFont val="Calibri"/>
        <family val="2"/>
      </rPr>
      <t xml:space="preserve"> (2020) &amp; Salthammer </t>
    </r>
    <r>
      <rPr>
        <i/>
        <sz val="10"/>
        <rFont val="Calibri"/>
        <family val="2"/>
      </rPr>
      <t>et al</t>
    </r>
    <r>
      <rPr>
        <sz val="10"/>
        <rFont val="Calibri"/>
        <family val="2"/>
      </rPr>
      <t xml:space="preserve"> (2014) for Default, Chakraborty </t>
    </r>
    <r>
      <rPr>
        <i/>
        <sz val="10"/>
        <rFont val="Calibri"/>
        <family val="2"/>
      </rPr>
      <t>et al</t>
    </r>
    <r>
      <rPr>
        <sz val="10"/>
        <rFont val="Calibri"/>
        <family val="2"/>
      </rPr>
      <t xml:space="preserve"> (2020) for Low/High</t>
    </r>
  </si>
  <si>
    <t>Assumed the same as a NES-compliant wood burner</t>
  </si>
  <si>
    <t>Assumed 1/3 of an ultra low emissions burner</t>
  </si>
  <si>
    <r>
      <t>Gillespie-Bennett</t>
    </r>
    <r>
      <rPr>
        <i/>
        <sz val="10"/>
        <rFont val="Calibri"/>
        <family val="2"/>
      </rPr>
      <t xml:space="preserve"> et al </t>
    </r>
    <r>
      <rPr>
        <sz val="10"/>
        <rFont val="Calibri"/>
        <family val="2"/>
      </rPr>
      <t>(2008) for Default, with Low/High based on 95% CIs on GMR, passive estimates unadjusted</t>
    </r>
  </si>
  <si>
    <t>Some window opening assumed in Spring, Summer &amp; Autumn</t>
  </si>
  <si>
    <r>
      <t>NO</t>
    </r>
    <r>
      <rPr>
        <vertAlign val="subscript"/>
        <sz val="10"/>
        <rFont val="Calibri"/>
        <family val="2"/>
      </rPr>
      <t>2</t>
    </r>
    <r>
      <rPr>
        <sz val="10"/>
        <rFont val="Calibri"/>
        <family val="2"/>
      </rPr>
      <t xml:space="preserve"> assumed to be negligible so set to zero</t>
    </r>
  </si>
  <si>
    <t>Background on concentration estimates</t>
  </si>
  <si>
    <t>|-----------Splits to account for window opening/fuel use by season-------|</t>
  </si>
  <si>
    <r>
      <t>PM</t>
    </r>
    <r>
      <rPr>
        <b/>
        <vertAlign val="subscript"/>
        <sz val="10"/>
        <color theme="5"/>
        <rFont val="Aptos"/>
        <family val="2"/>
      </rPr>
      <t>2.5</t>
    </r>
  </si>
  <si>
    <t>Winter-time</t>
  </si>
  <si>
    <t>Spring (SON)</t>
  </si>
  <si>
    <t>Summer (DJF)</t>
  </si>
  <si>
    <t>Autumn (MAM)</t>
  </si>
  <si>
    <t>Winter (JJA)</t>
  </si>
  <si>
    <t>Annualised value</t>
  </si>
  <si>
    <t>Comments</t>
  </si>
  <si>
    <r>
      <t xml:space="preserve">Default seasonal split based on average across NZ inventories (Wilton </t>
    </r>
    <r>
      <rPr>
        <i/>
        <sz val="10"/>
        <color theme="4"/>
        <rFont val="Calibri"/>
        <family val="2"/>
      </rPr>
      <t>et al</t>
    </r>
    <r>
      <rPr>
        <sz val="10"/>
        <color theme="4"/>
        <rFont val="Calibri"/>
        <family val="2"/>
      </rPr>
      <t xml:space="preserve"> 2015)</t>
    </r>
  </si>
  <si>
    <t xml:space="preserve"> - low estimate</t>
  </si>
  <si>
    <r>
      <t xml:space="preserve">Low seasonal split based on lowest across NZ inventories (Wilton </t>
    </r>
    <r>
      <rPr>
        <i/>
        <sz val="10"/>
        <color theme="4"/>
        <rFont val="Calibri"/>
        <family val="2"/>
      </rPr>
      <t xml:space="preserve">et al </t>
    </r>
    <r>
      <rPr>
        <sz val="10"/>
        <color theme="4"/>
        <rFont val="Calibri"/>
        <family val="2"/>
      </rPr>
      <t>2015)</t>
    </r>
  </si>
  <si>
    <t xml:space="preserve"> - high estimate</t>
  </si>
  <si>
    <r>
      <t xml:space="preserve">High seasonal split based on highest across NZ inventories (Wilton </t>
    </r>
    <r>
      <rPr>
        <i/>
        <sz val="10"/>
        <color theme="4"/>
        <rFont val="Calibri"/>
        <family val="2"/>
      </rPr>
      <t xml:space="preserve">et al </t>
    </r>
    <r>
      <rPr>
        <sz val="10"/>
        <color theme="4"/>
        <rFont val="Calibri"/>
        <family val="2"/>
      </rPr>
      <t>2015)</t>
    </r>
  </si>
  <si>
    <t>Splits as above</t>
  </si>
  <si>
    <t>Splits as above &amp; assume conc'ns same as a NES-compliant burner as peaks caused by fuel loading</t>
  </si>
  <si>
    <t>Splits as above &amp; assume 1/3 ULEB default as door only opened for cleaning/ash removal</t>
  </si>
  <si>
    <r>
      <t>NO</t>
    </r>
    <r>
      <rPr>
        <b/>
        <vertAlign val="subscript"/>
        <sz val="10"/>
        <color theme="7" tint="-0.249977111117893"/>
        <rFont val="Aptos"/>
        <family val="2"/>
      </rPr>
      <t>2</t>
    </r>
  </si>
  <si>
    <t>Gas stove - default estimate</t>
  </si>
  <si>
    <r>
      <t xml:space="preserve">Assume summer=0.25 based on Kornartit </t>
    </r>
    <r>
      <rPr>
        <i/>
        <sz val="10"/>
        <color theme="4"/>
        <rFont val="Calibri"/>
        <family val="2"/>
      </rPr>
      <t>et al</t>
    </r>
    <r>
      <rPr>
        <sz val="10"/>
        <color theme="4"/>
        <rFont val="Calibri"/>
        <family val="2"/>
      </rPr>
      <t xml:space="preserve"> (2010), winter=1, rest halfway between</t>
    </r>
  </si>
  <si>
    <r>
      <t xml:space="preserve">Assume summer=0.5 based on Sun </t>
    </r>
    <r>
      <rPr>
        <i/>
        <sz val="10"/>
        <color theme="4"/>
        <rFont val="Calibri"/>
        <family val="2"/>
      </rPr>
      <t>et al</t>
    </r>
    <r>
      <rPr>
        <sz val="10"/>
        <color theme="4"/>
        <rFont val="Calibri"/>
        <family val="2"/>
      </rPr>
      <t xml:space="preserve"> (2025), winter=1, rest halfway between</t>
    </r>
  </si>
  <si>
    <t>Gas unflued heater - default estimate</t>
  </si>
  <si>
    <r>
      <t xml:space="preserve">Splits as per Wilton </t>
    </r>
    <r>
      <rPr>
        <i/>
        <sz val="10"/>
        <color theme="4"/>
        <rFont val="Calibri"/>
        <family val="2"/>
      </rPr>
      <t>et al</t>
    </r>
    <r>
      <rPr>
        <sz val="10"/>
        <color theme="4"/>
        <rFont val="Calibri"/>
        <family val="2"/>
      </rPr>
      <t xml:space="preserve"> (2015), passive estimates not adjusted</t>
    </r>
  </si>
  <si>
    <t>Background on seasonal splits</t>
  </si>
  <si>
    <t>high</t>
  </si>
  <si>
    <t>low</t>
  </si>
  <si>
    <t>average</t>
  </si>
  <si>
    <r>
      <t xml:space="preserve">Seasonal profile data from Wilton </t>
    </r>
    <r>
      <rPr>
        <i/>
        <sz val="10"/>
        <color theme="1"/>
        <rFont val="Calibri"/>
        <family val="2"/>
      </rPr>
      <t>et al</t>
    </r>
    <r>
      <rPr>
        <sz val="10"/>
        <color theme="1"/>
        <rFont val="Calibri"/>
        <family val="2"/>
      </rPr>
      <t xml:space="preserve"> (2015) </t>
    </r>
    <r>
      <rPr>
        <i/>
        <sz val="10"/>
        <color theme="1"/>
        <rFont val="Calibri"/>
        <family val="2"/>
      </rPr>
      <t>Home heating emission inventory</t>
    </r>
    <r>
      <rPr>
        <sz val="10"/>
        <color theme="1"/>
        <rFont val="Calibri"/>
        <family val="2"/>
      </rPr>
      <t xml:space="preserve"> </t>
    </r>
    <r>
      <rPr>
        <i/>
        <sz val="10"/>
        <color theme="1"/>
        <rFont val="Calibri"/>
        <family val="2"/>
      </rPr>
      <t>and other sources evaluation.</t>
    </r>
  </si>
  <si>
    <t>Proportion of daily winter (July) emissions per month</t>
  </si>
  <si>
    <t>Jan</t>
  </si>
  <si>
    <t>Feb</t>
  </si>
  <si>
    <t>Mar</t>
  </si>
  <si>
    <t>Apr</t>
  </si>
  <si>
    <t>May</t>
  </si>
  <si>
    <t>Jun</t>
  </si>
  <si>
    <t>Jul</t>
  </si>
  <si>
    <t>Aug</t>
  </si>
  <si>
    <t>Sep</t>
  </si>
  <si>
    <t>Oct</t>
  </si>
  <si>
    <t>Nov</t>
  </si>
  <si>
    <t>Dec</t>
  </si>
  <si>
    <t>NelsonA</t>
  </si>
  <si>
    <t>Nelson Airshed B1</t>
  </si>
  <si>
    <t>Nelson Airshed B2</t>
  </si>
  <si>
    <t>Nelson Airshed C</t>
  </si>
  <si>
    <t>Taupo</t>
  </si>
  <si>
    <t>Gore</t>
  </si>
  <si>
    <t>Invercargill</t>
  </si>
  <si>
    <t>Richmond</t>
  </si>
  <si>
    <t>Blenheim</t>
  </si>
  <si>
    <t>Reefton</t>
  </si>
  <si>
    <t>Taumarunui</t>
  </si>
  <si>
    <t>Taihape</t>
  </si>
  <si>
    <t>Hastings</t>
  </si>
  <si>
    <t>Napier</t>
  </si>
  <si>
    <t>HavelockNorth</t>
  </si>
  <si>
    <t>Hamilton</t>
  </si>
  <si>
    <t>Tokoroa</t>
  </si>
  <si>
    <t>Masterton</t>
  </si>
  <si>
    <t>Auckland1</t>
  </si>
  <si>
    <t>Auckland2</t>
  </si>
  <si>
    <t>Auckland3</t>
  </si>
  <si>
    <t>Auckland4</t>
  </si>
  <si>
    <t>Auckland5</t>
  </si>
  <si>
    <t>Auckland7</t>
  </si>
  <si>
    <t>Auckland9</t>
  </si>
  <si>
    <t>Christchurch</t>
  </si>
  <si>
    <t>Timaru</t>
  </si>
  <si>
    <t>RuralClimate1</t>
  </si>
  <si>
    <t>UrbanClimate1</t>
  </si>
  <si>
    <t>UrbanNI</t>
  </si>
  <si>
    <t>RuralNI</t>
  </si>
  <si>
    <t>RuralNIClimate3</t>
  </si>
  <si>
    <t>UrbanNIClimate3</t>
  </si>
  <si>
    <t>RuralUpperSouth</t>
  </si>
  <si>
    <t>UrbanUpperSouth</t>
  </si>
  <si>
    <t>RuralWestCoast</t>
  </si>
  <si>
    <t>UrbanWestCoast</t>
  </si>
  <si>
    <t>UrbanCanterbury</t>
  </si>
  <si>
    <t>RuralSI</t>
  </si>
  <si>
    <t>UrbanOtago</t>
  </si>
  <si>
    <t>Otago1</t>
  </si>
  <si>
    <t>UrbanSouthland</t>
  </si>
  <si>
    <t>Household compositions &amp; Health data</t>
  </si>
  <si>
    <t xml:space="preserve">This sheet presents the number of adults and children in a typical household (HH), with low/high values indicated, together with relevant health incidence/prevalence data for all health outcomes in this model. </t>
  </si>
  <si>
    <r>
      <rPr>
        <b/>
        <sz val="9"/>
        <color theme="4"/>
        <rFont val="Calibri"/>
        <family val="2"/>
      </rPr>
      <t xml:space="preserve">Note: </t>
    </r>
    <r>
      <rPr>
        <sz val="9"/>
        <color theme="4"/>
        <rFont val="Calibri"/>
        <family val="2"/>
      </rPr>
      <t xml:space="preserve">The sources used to estimate typical household composition and baseline health outcomes are shownin this sheet and described in full in the </t>
    </r>
    <r>
      <rPr>
        <b/>
        <sz val="9"/>
        <color theme="4"/>
        <rFont val="Calibri"/>
        <family val="2"/>
      </rPr>
      <t>References</t>
    </r>
    <r>
      <rPr>
        <sz val="9"/>
        <color theme="4"/>
        <rFont val="Calibri"/>
        <family val="2"/>
      </rPr>
      <t xml:space="preserve"> worksheet.  All assumptions are clearly stated.</t>
    </r>
  </si>
  <si>
    <t>Household Demographics in 2018</t>
  </si>
  <si>
    <t>Average composition per household (taken from Census 2018)</t>
  </si>
  <si>
    <t>number per h'hold</t>
  </si>
  <si>
    <t>StatsNZ (2021)</t>
  </si>
  <si>
    <t>Low for single HH, High for extended family</t>
  </si>
  <si>
    <t>Low for no kids, High for double the average</t>
  </si>
  <si>
    <t>Background from StatsNZ 2018 Census</t>
  </si>
  <si>
    <t>No of adults, default based on couple (~57% of all HH), low based on single HH, high based on extended family (17.2% of all HH)</t>
  </si>
  <si>
    <t>No of children, default based on average (1.9 where present), low based no kids (~67% of all HH), high assumed default doubled</t>
  </si>
  <si>
    <t>Health Incidence in 2016 based on 3-yr average</t>
  </si>
  <si>
    <t>Total Cases from MoH data used HAPINZ 3</t>
  </si>
  <si>
    <t>2015-2017 Average</t>
  </si>
  <si>
    <t xml:space="preserve">Premature mortality for all adults (30+ years) </t>
  </si>
  <si>
    <r>
      <t xml:space="preserve">Kuschel </t>
    </r>
    <r>
      <rPr>
        <i/>
        <sz val="10"/>
        <rFont val="Calibri"/>
        <family val="2"/>
      </rPr>
      <t>et al</t>
    </r>
    <r>
      <rPr>
        <sz val="10"/>
        <rFont val="Calibri"/>
        <family val="2"/>
      </rPr>
      <t xml:space="preserve"> (2022), in HAPINZ 3.0</t>
    </r>
  </si>
  <si>
    <t>Used for PAF</t>
  </si>
  <si>
    <t xml:space="preserve">Years of life lost (YLL) for all adults (30+ years) </t>
  </si>
  <si>
    <t>Cardiovascular hospitalisations for all ages</t>
  </si>
  <si>
    <t>Respiratory hospitalisations for all ages</t>
  </si>
  <si>
    <t xml:space="preserve">  *Asthma/wheeze hospitalisations for 0-18 year olds</t>
  </si>
  <si>
    <t>Restricted activity days for all ages</t>
  </si>
  <si>
    <t>Estimated using a RR not via PAF</t>
  </si>
  <si>
    <t xml:space="preserve">Asthma prevalence for 0-18 year olds </t>
  </si>
  <si>
    <t>Population in 2016</t>
  </si>
  <si>
    <t>2016 Census data used in HAPINZ 3</t>
  </si>
  <si>
    <t>2016 Total</t>
  </si>
  <si>
    <t>All adults (30+ years)</t>
  </si>
  <si>
    <t>All children (0-18 years)</t>
  </si>
  <si>
    <t>NZ national appliance and fuel use numbers</t>
  </si>
  <si>
    <t>This sheet presents the best estimates for the number of appliances and average fuel use across New Zealand based on a review of available data</t>
  </si>
  <si>
    <r>
      <rPr>
        <b/>
        <sz val="9"/>
        <color theme="4"/>
        <rFont val="Calibri"/>
        <family val="2"/>
      </rPr>
      <t xml:space="preserve">Note: </t>
    </r>
    <r>
      <rPr>
        <sz val="9"/>
        <color theme="4"/>
        <rFont val="Calibri"/>
        <family val="2"/>
      </rPr>
      <t xml:space="preserve">The sources used are shown in this sheet and described in full in the </t>
    </r>
    <r>
      <rPr>
        <b/>
        <sz val="9"/>
        <color theme="4"/>
        <rFont val="Calibri"/>
        <family val="2"/>
      </rPr>
      <t>References</t>
    </r>
    <r>
      <rPr>
        <sz val="9"/>
        <color theme="4"/>
        <rFont val="Calibri"/>
        <family val="2"/>
      </rPr>
      <t xml:space="preserve"> worksheet.  All assumptions are clearly stated.</t>
    </r>
  </si>
  <si>
    <t>National appliance numbers</t>
  </si>
  <si>
    <t>Refs highlighted like this are the ones used in the modelling</t>
  </si>
  <si>
    <t>National fuel use</t>
  </si>
  <si>
    <r>
      <t>Note:</t>
    </r>
    <r>
      <rPr>
        <sz val="9"/>
        <color theme="4"/>
        <rFont val="Calibri"/>
        <family val="2"/>
      </rPr>
      <t xml:space="preserve">  Assume one appliance per household</t>
    </r>
  </si>
  <si>
    <r>
      <t>Note:</t>
    </r>
    <r>
      <rPr>
        <sz val="9"/>
        <color theme="4"/>
        <rFont val="Calibri"/>
        <family val="2"/>
      </rPr>
      <t xml:space="preserve">  Per appliance fuel use </t>
    </r>
  </si>
  <si>
    <t>Census Home Heating Data</t>
  </si>
  <si>
    <t>No of HH</t>
  </si>
  <si>
    <t>% of HH stated/surveyed</t>
  </si>
  <si>
    <t>StatsNZ (2025)</t>
  </si>
  <si>
    <t>Wood burning appliances (daily fuel use in winter)</t>
  </si>
  <si>
    <t>Fuel all - Total occupied dwellings 2018</t>
  </si>
  <si>
    <t>Total dwellings</t>
  </si>
  <si>
    <t>Fuel all - Total stated for occupied dwellings 2018</t>
  </si>
  <si>
    <t>Only ones for which there is a response</t>
  </si>
  <si>
    <t>Open fire (Canterbury)</t>
  </si>
  <si>
    <t>kg/day</t>
  </si>
  <si>
    <r>
      <t xml:space="preserve">assuming </t>
    </r>
    <r>
      <rPr>
        <i/>
        <sz val="10"/>
        <color theme="1"/>
        <rFont val="Calibri"/>
        <family val="2"/>
      </rPr>
      <t>wood_old_style</t>
    </r>
    <r>
      <rPr>
        <sz val="10"/>
        <color theme="1"/>
        <rFont val="Calibri"/>
        <family val="2"/>
      </rPr>
      <t xml:space="preserve"> from ECan (2024) Home Heating Emissions Database</t>
    </r>
  </si>
  <si>
    <t>Fuel gas - Total stated for occupied dwellings 2018</t>
  </si>
  <si>
    <t>Open fire (Auckland)</t>
  </si>
  <si>
    <r>
      <t xml:space="preserve">from Table 2-1, Metcalfe </t>
    </r>
    <r>
      <rPr>
        <i/>
        <sz val="10"/>
        <color theme="1"/>
        <rFont val="Calibri"/>
        <family val="2"/>
      </rPr>
      <t>et al</t>
    </r>
    <r>
      <rPr>
        <sz val="10"/>
        <color theme="1"/>
        <rFont val="Calibri"/>
        <family val="2"/>
      </rPr>
      <t xml:space="preserve"> (2018)</t>
    </r>
  </si>
  <si>
    <t>Fuel wood - Total stated for occupied dwellings 2018</t>
  </si>
  <si>
    <t>Wood burner - non-NES (Canterbury)</t>
  </si>
  <si>
    <t>Fuel all - Total occupied dwellings 2023</t>
  </si>
  <si>
    <t>Wood burner - all (Auckland)</t>
  </si>
  <si>
    <t>Fuel all - Total stated for occupied dwellings 2023</t>
  </si>
  <si>
    <t>Fuel gas - Total stated for occupied dwellings 2023</t>
  </si>
  <si>
    <t>Wood burner - NES (Canterbury)</t>
  </si>
  <si>
    <r>
      <t xml:space="preserve">assuming </t>
    </r>
    <r>
      <rPr>
        <i/>
        <sz val="10"/>
        <color theme="1"/>
        <rFont val="Calibri"/>
        <family val="2"/>
      </rPr>
      <t>wood_1p0_1p5</t>
    </r>
    <r>
      <rPr>
        <sz val="10"/>
        <color theme="1"/>
        <rFont val="Calibri"/>
        <family val="2"/>
      </rPr>
      <t xml:space="preserve"> from ECan (2024) Home Heating Emissions Database</t>
    </r>
  </si>
  <si>
    <t>Fuel wood - Total stated for occupied dwellings 2023</t>
  </si>
  <si>
    <t>Appliance all - Total occupied dwellings 2018</t>
  </si>
  <si>
    <t>Wood burner - ULEB (Canterbury)</t>
  </si>
  <si>
    <r>
      <t xml:space="preserve">assuming </t>
    </r>
    <r>
      <rPr>
        <i/>
        <sz val="10"/>
        <color theme="1"/>
        <rFont val="Calibri"/>
        <family val="2"/>
      </rPr>
      <t>wood_uleb</t>
    </r>
    <r>
      <rPr>
        <sz val="10"/>
        <color theme="1"/>
        <rFont val="Calibri"/>
        <family val="2"/>
      </rPr>
      <t xml:space="preserve"> from ECan (2024) Home Heating Emissions Database</t>
    </r>
  </si>
  <si>
    <t>Appliance all - Total stated for occupied dwellings 2018</t>
  </si>
  <si>
    <t>Appliance portable gas - Total stated for occupied dwellings 2018</t>
  </si>
  <si>
    <t>Appliance wood burner - Total stated for occupied dwellings 2018</t>
  </si>
  <si>
    <t>Average wood appliance (North Island - urban)</t>
  </si>
  <si>
    <r>
      <t xml:space="preserve">from Table 3-3, Wilton </t>
    </r>
    <r>
      <rPr>
        <i/>
        <sz val="10"/>
        <color theme="1"/>
        <rFont val="Calibri"/>
        <family val="2"/>
      </rPr>
      <t>et al</t>
    </r>
    <r>
      <rPr>
        <sz val="10"/>
        <color theme="1"/>
        <rFont val="Calibri"/>
        <family val="2"/>
      </rPr>
      <t xml:space="preserve"> (2015)</t>
    </r>
  </si>
  <si>
    <t>Appliance pellet burner - Total stated for occupied dwellings 2018</t>
  </si>
  <si>
    <t>Average wood appliance (North Island - rural)</t>
  </si>
  <si>
    <t>Average wood appliance (South Island - rural)</t>
  </si>
  <si>
    <t>Appliance all - Total occupied dwellings 2023</t>
  </si>
  <si>
    <t>Appliance all - Total stated for occupied dwellings 2023</t>
  </si>
  <si>
    <t>Average wood burning appliance (NZ average per HH)</t>
  </si>
  <si>
    <r>
      <t xml:space="preserve">from Wilton </t>
    </r>
    <r>
      <rPr>
        <i/>
        <sz val="10"/>
        <color theme="1"/>
        <rFont val="Calibri"/>
        <family val="2"/>
      </rPr>
      <t>et al</t>
    </r>
    <r>
      <rPr>
        <sz val="10"/>
        <color theme="1"/>
        <rFont val="Calibri"/>
        <family val="2"/>
      </rPr>
      <t xml:space="preserve"> (2015), adjusted by fuel use only</t>
    </r>
  </si>
  <si>
    <t>Appliance portable gas - Total stated for occupied dwellings 2023</t>
  </si>
  <si>
    <t>Appliance wood burner - Total stated for occupied dwellings 2023</t>
  </si>
  <si>
    <t>Pellet burner (Canterbury)</t>
  </si>
  <si>
    <r>
      <t xml:space="preserve">assuming </t>
    </r>
    <r>
      <rPr>
        <i/>
        <sz val="10"/>
        <color theme="1"/>
        <rFont val="Calibri"/>
        <family val="2"/>
      </rPr>
      <t>pellet</t>
    </r>
    <r>
      <rPr>
        <sz val="10"/>
        <color theme="1"/>
        <rFont val="Calibri"/>
        <family val="2"/>
      </rPr>
      <t xml:space="preserve"> from ECan (2024) Home Heating Emissions Database</t>
    </r>
  </si>
  <si>
    <t>Appliance pellet burner - Total stated for occupied dwellings 2023</t>
  </si>
  <si>
    <t>Pellet burner (Auckland)</t>
  </si>
  <si>
    <t>Estimated no of households (owner-occupied dwellings) 2023</t>
  </si>
  <si>
    <t>https://berl.co.nz/economic-insights/2023-census-data-release</t>
  </si>
  <si>
    <t>Wood burning appliances (annual fuel use)</t>
  </si>
  <si>
    <t>annual fuel use (kg/yr) per wood burning appliance taken from Wilton et al 2015</t>
  </si>
  <si>
    <t>Estimated no of households (occupied dwellings?) March 2025</t>
  </si>
  <si>
    <t>https://www.stats.govt.nz/information-releases/dwelling-and-household-estimates-march-2025-quarter/</t>
  </si>
  <si>
    <t>kg/yr</t>
  </si>
  <si>
    <t>Extrapolated no of total occupied dwellings in 2025</t>
  </si>
  <si>
    <t>extrapolating Census 2018 and Census 2023 results to 2025</t>
  </si>
  <si>
    <t>Gas hobs (cooktops)</t>
  </si>
  <si>
    <t>gas hob number taken from Rewiring NZ 2025 (likely 2024 numbers)</t>
  </si>
  <si>
    <t>No of gas hobs in 2024 (owner-occupied only?)</t>
  </si>
  <si>
    <t>https://www.eeca.govt.nz/insights/eeca-insights/electrifying-aotearoa-the-consumer-perspective/</t>
  </si>
  <si>
    <r>
      <t xml:space="preserve">from Wilton </t>
    </r>
    <r>
      <rPr>
        <i/>
        <sz val="10"/>
        <color theme="1"/>
        <rFont val="Calibri"/>
        <family val="2"/>
      </rPr>
      <t>et al</t>
    </r>
    <r>
      <rPr>
        <sz val="10"/>
        <color theme="1"/>
        <rFont val="Calibri"/>
        <family val="2"/>
      </rPr>
      <t xml:space="preserve"> (2015), adjusted by fuel use and seasonality</t>
    </r>
  </si>
  <si>
    <t>No of gas hobs in 2025 (assumed all occupied, not stated)</t>
  </si>
  <si>
    <t>https://www.rewiring.nz/machine-count</t>
  </si>
  <si>
    <t>No of gas hobs in 2025 (all occupied)</t>
  </si>
  <si>
    <r>
      <t>EECA Omni Survey 2025 -</t>
    </r>
    <r>
      <rPr>
        <sz val="10"/>
        <color theme="9"/>
        <rFont val="Calibri"/>
        <family val="2"/>
      </rPr>
      <t xml:space="preserve"> owned </t>
    </r>
    <r>
      <rPr>
        <sz val="10"/>
        <color theme="1"/>
        <rFont val="Calibri"/>
        <family val="2"/>
      </rPr>
      <t>or used past 12 mths</t>
    </r>
  </si>
  <si>
    <t>annual fuel use (kg/yr) per pellet burner taken from ECan 2024</t>
  </si>
  <si>
    <t>Unflued gas heaters</t>
  </si>
  <si>
    <t>UFG heater number taken from StatsNZ (2025)</t>
  </si>
  <si>
    <t>No of portable gas heaters in 2018</t>
  </si>
  <si>
    <t>Census 2018</t>
  </si>
  <si>
    <t>No of portable gas heaters in 2023</t>
  </si>
  <si>
    <t>Census 2023, StatsNZ (2025)</t>
  </si>
  <si>
    <t>No of portable gas heaters in 2023 (owner occupied only?)</t>
  </si>
  <si>
    <t>Annual gas use  (assuming 1 hr/day) NB: This value not used*</t>
  </si>
  <si>
    <t>l/yr</t>
  </si>
  <si>
    <t>PlusGas (2025) estimates for gas hob average daily use (0.2 l/hr)</t>
  </si>
  <si>
    <t>No of portable gas heaters in 2025 (all occupied)</t>
  </si>
  <si>
    <r>
      <t xml:space="preserve">*Delgado-Saborit </t>
    </r>
    <r>
      <rPr>
        <i/>
        <sz val="10"/>
        <color theme="0" tint="-0.499984740745262"/>
        <rFont val="Calibri Light"/>
        <family val="2"/>
      </rPr>
      <t>et al</t>
    </r>
    <r>
      <rPr>
        <sz val="10"/>
        <color theme="0" tint="-0.499984740745262"/>
        <rFont val="Calibri Light"/>
        <family val="2"/>
      </rPr>
      <t xml:space="preserve"> (2024) found no association between NO</t>
    </r>
    <r>
      <rPr>
        <vertAlign val="subscript"/>
        <sz val="10"/>
        <color theme="0" tint="-0.499984740745262"/>
        <rFont val="Calibri Light"/>
        <family val="2"/>
      </rPr>
      <t>2</t>
    </r>
    <r>
      <rPr>
        <sz val="10"/>
        <color theme="0" tint="-0.499984740745262"/>
        <rFont val="Calibri Light"/>
        <family val="2"/>
      </rPr>
      <t xml:space="preserve"> and extraction</t>
    </r>
  </si>
  <si>
    <t>Wood burning appliances</t>
  </si>
  <si>
    <t>wood burner number taken from StatsNZ (2025)</t>
  </si>
  <si>
    <t>Annual gas use  (assuming 1 hr/day)</t>
  </si>
  <si>
    <t>effects of all fuel use assumed to be indoor only (reflected in indoor concentrations)</t>
  </si>
  <si>
    <t>No of wood burners in 2018</t>
  </si>
  <si>
    <t>No of wood burners in 2023</t>
  </si>
  <si>
    <t>No of wood burners in 2023 (owner occupied only?)</t>
  </si>
  <si>
    <t>No of wood burners in 2025 (all occupied)</t>
  </si>
  <si>
    <t>pellet burner number taken from StatsNZ (2025)</t>
  </si>
  <si>
    <t>No of pellet burners in 2018</t>
  </si>
  <si>
    <t>No of pellet burners in 2023</t>
  </si>
  <si>
    <t>No of pellet burners in 2023 (owner occupied only?)</t>
  </si>
  <si>
    <t>No of pellet burners in 2025 (all occupied)</t>
  </si>
  <si>
    <t>open fire number taken from Census 2023 (but difference from total wood minus wood/pellet burners)</t>
  </si>
  <si>
    <t>No of open fires in 2018</t>
  </si>
  <si>
    <t>No of open fires in 2023</t>
  </si>
  <si>
    <t>No of open fires in 2025 (all occupied)</t>
  </si>
  <si>
    <t>Assumed split of wood burners</t>
  </si>
  <si>
    <t>The wood burner splits used to disaggregrate the total wood burners across NZ</t>
  </si>
  <si>
    <t>are taken from the ECan (2024) Home Heating Emissions Database</t>
  </si>
  <si>
    <t>based on the number of appliances for the entire Canterbury region in 2021</t>
  </si>
  <si>
    <t>All wood burners</t>
  </si>
  <si>
    <t>Check</t>
  </si>
  <si>
    <r>
      <t xml:space="preserve">This sheet estimates the indoor air related health impacts and costs for the basecase (default values) and the scenario (user selection) from the </t>
    </r>
    <r>
      <rPr>
        <b/>
        <sz val="10"/>
        <color theme="1"/>
        <rFont val="Calibri"/>
        <family val="2"/>
      </rPr>
      <t>Input</t>
    </r>
    <r>
      <rPr>
        <sz val="10"/>
        <color theme="1"/>
        <rFont val="Calibri"/>
        <family val="2"/>
      </rPr>
      <t xml:space="preserve"> sheet per household</t>
    </r>
  </si>
  <si>
    <r>
      <t xml:space="preserve">Note: </t>
    </r>
    <r>
      <rPr>
        <sz val="9"/>
        <color theme="4"/>
        <rFont val="Calibri"/>
        <family val="2"/>
      </rPr>
      <t>Total costs for each appliance are calculated for mortality based on VoSL as well as mortality based on VoLY</t>
    </r>
    <r>
      <rPr>
        <b/>
        <sz val="9"/>
        <color theme="4"/>
        <rFont val="Calibri"/>
        <family val="2"/>
      </rPr>
      <t>.</t>
    </r>
  </si>
  <si>
    <t>For health outcome with ERFs</t>
  </si>
  <si>
    <t>Health Outcomes Cases per household</t>
  </si>
  <si>
    <t>Open fire</t>
  </si>
  <si>
    <t>Non-NES</t>
  </si>
  <si>
    <t>NES Compliant</t>
  </si>
  <si>
    <t>Ultra-low emissions</t>
  </si>
  <si>
    <t>Pellet</t>
  </si>
  <si>
    <t>ERF</t>
  </si>
  <si>
    <r>
      <t xml:space="preserve">per </t>
    </r>
    <r>
      <rPr>
        <b/>
        <i/>
        <sz val="10"/>
        <color theme="1"/>
        <rFont val="Calibri"/>
        <family val="2"/>
      </rPr>
      <t>X</t>
    </r>
    <r>
      <rPr>
        <b/>
        <sz val="10"/>
        <color theme="1"/>
        <rFont val="Calibri"/>
        <family val="2"/>
      </rPr>
      <t xml:space="preserve"> µg/m3</t>
    </r>
  </si>
  <si>
    <t>Tot cases</t>
  </si>
  <si>
    <t>Tot pop</t>
  </si>
  <si>
    <t>H'hold pop</t>
  </si>
  <si>
    <t>Cost per case$</t>
  </si>
  <si>
    <t>W/burner type 1a</t>
  </si>
  <si>
    <t>W/burner type 1b</t>
  </si>
  <si>
    <t>W/burner type 2</t>
  </si>
  <si>
    <t xml:space="preserve">W/burner type 3 </t>
  </si>
  <si>
    <t>W/pellet burner</t>
  </si>
  <si>
    <r>
      <t>PM</t>
    </r>
    <r>
      <rPr>
        <b/>
        <vertAlign val="subscript"/>
        <sz val="10"/>
        <color theme="5"/>
        <rFont val="Calibri"/>
        <family val="2"/>
      </rPr>
      <t>2.5</t>
    </r>
    <r>
      <rPr>
        <b/>
        <sz val="10"/>
        <color theme="5"/>
        <rFont val="Calibri"/>
        <family val="2"/>
      </rPr>
      <t xml:space="preserve"> annual increment (µg/m</t>
    </r>
    <r>
      <rPr>
        <b/>
        <vertAlign val="superscript"/>
        <sz val="10"/>
        <color theme="5"/>
        <rFont val="Calibri"/>
        <family val="2"/>
      </rPr>
      <t>3</t>
    </r>
    <r>
      <rPr>
        <b/>
        <sz val="10"/>
        <color theme="5"/>
        <rFont val="Calibri"/>
        <family val="2"/>
      </rPr>
      <t>)</t>
    </r>
  </si>
  <si>
    <t xml:space="preserve">n/a   </t>
  </si>
  <si>
    <t>For health outcome with RRs</t>
  </si>
  <si>
    <r>
      <t>PM</t>
    </r>
    <r>
      <rPr>
        <b/>
        <vertAlign val="subscript"/>
        <sz val="10"/>
        <color theme="5"/>
        <rFont val="Calibri"/>
        <family val="2"/>
      </rPr>
      <t>2.5</t>
    </r>
    <r>
      <rPr>
        <b/>
        <sz val="10"/>
        <color theme="5"/>
        <rFont val="Calibri"/>
        <family val="2"/>
      </rPr>
      <t xml:space="preserve"> Economic Costs (w VoSL)</t>
    </r>
  </si>
  <si>
    <r>
      <t>PM</t>
    </r>
    <r>
      <rPr>
        <vertAlign val="subscript"/>
        <sz val="10"/>
        <color theme="5"/>
        <rFont val="Calibri"/>
        <family val="2"/>
      </rPr>
      <t>2.5</t>
    </r>
    <r>
      <rPr>
        <sz val="10"/>
        <color theme="5"/>
        <rFont val="Calibri"/>
        <family val="2"/>
      </rPr>
      <t xml:space="preserve"> Economic Costs (w VoLY)</t>
    </r>
  </si>
  <si>
    <r>
      <t>PM</t>
    </r>
    <r>
      <rPr>
        <b/>
        <vertAlign val="subscript"/>
        <sz val="10"/>
        <color theme="5"/>
        <rFont val="Calibri"/>
        <family val="2"/>
      </rPr>
      <t>2.5</t>
    </r>
    <r>
      <rPr>
        <b/>
        <sz val="10"/>
        <color theme="5"/>
        <rFont val="Calibri"/>
        <family val="2"/>
      </rPr>
      <t xml:space="preserve"> Fiscal Costs</t>
    </r>
  </si>
  <si>
    <r>
      <t>PM</t>
    </r>
    <r>
      <rPr>
        <b/>
        <vertAlign val="subscript"/>
        <sz val="10"/>
        <color theme="5"/>
        <rFont val="Calibri"/>
        <family val="2"/>
      </rPr>
      <t>2.5</t>
    </r>
    <r>
      <rPr>
        <b/>
        <sz val="10"/>
        <color theme="5"/>
        <rFont val="Calibri"/>
        <family val="2"/>
      </rPr>
      <t xml:space="preserve"> Total Costs (w VoSL)</t>
    </r>
  </si>
  <si>
    <r>
      <t>NO</t>
    </r>
    <r>
      <rPr>
        <b/>
        <vertAlign val="subscript"/>
        <sz val="10"/>
        <color theme="7" tint="-0.249977111117893"/>
        <rFont val="Calibri"/>
        <family val="2"/>
      </rPr>
      <t>2</t>
    </r>
    <r>
      <rPr>
        <b/>
        <sz val="10"/>
        <color theme="7" tint="-0.249977111117893"/>
        <rFont val="Calibri"/>
        <family val="2"/>
      </rPr>
      <t xml:space="preserve"> annual increment (µg/m</t>
    </r>
    <r>
      <rPr>
        <b/>
        <vertAlign val="superscript"/>
        <sz val="10"/>
        <color theme="7" tint="-0.249977111117893"/>
        <rFont val="Calibri"/>
        <family val="2"/>
      </rPr>
      <t>3</t>
    </r>
    <r>
      <rPr>
        <b/>
        <sz val="10"/>
        <color theme="7" tint="-0.249977111117893"/>
        <rFont val="Calibri"/>
        <family val="2"/>
      </rPr>
      <t>)</t>
    </r>
  </si>
  <si>
    <t>excl asthma hospitalisations 0-18 yrs</t>
  </si>
  <si>
    <r>
      <t>NO</t>
    </r>
    <r>
      <rPr>
        <b/>
        <vertAlign val="subscript"/>
        <sz val="10"/>
        <color theme="7" tint="-0.249977111117893"/>
        <rFont val="Calibri"/>
        <family val="2"/>
      </rPr>
      <t>2</t>
    </r>
    <r>
      <rPr>
        <b/>
        <sz val="10"/>
        <color theme="7" tint="-0.249977111117893"/>
        <rFont val="Calibri"/>
        <family val="2"/>
      </rPr>
      <t xml:space="preserve"> Economic Costs (w VoSL)</t>
    </r>
  </si>
  <si>
    <r>
      <t>NO</t>
    </r>
    <r>
      <rPr>
        <vertAlign val="subscript"/>
        <sz val="10"/>
        <color theme="7" tint="-0.249977111117893"/>
        <rFont val="Calibri"/>
        <family val="2"/>
      </rPr>
      <t>2</t>
    </r>
    <r>
      <rPr>
        <sz val="10"/>
        <color theme="7" tint="-0.249977111117893"/>
        <rFont val="Calibri"/>
        <family val="2"/>
      </rPr>
      <t xml:space="preserve"> Economic Costs (w VoLY)</t>
    </r>
  </si>
  <si>
    <r>
      <t>NO</t>
    </r>
    <r>
      <rPr>
        <b/>
        <vertAlign val="subscript"/>
        <sz val="10"/>
        <color theme="7" tint="-0.249977111117893"/>
        <rFont val="Calibri"/>
        <family val="2"/>
      </rPr>
      <t>2</t>
    </r>
    <r>
      <rPr>
        <b/>
        <sz val="10"/>
        <color theme="7" tint="-0.249977111117893"/>
        <rFont val="Calibri"/>
        <family val="2"/>
      </rPr>
      <t xml:space="preserve"> Fiscal Costs</t>
    </r>
  </si>
  <si>
    <r>
      <t>NO</t>
    </r>
    <r>
      <rPr>
        <b/>
        <vertAlign val="subscript"/>
        <sz val="10"/>
        <color theme="7" tint="-0.249977111117893"/>
        <rFont val="Calibri"/>
        <family val="2"/>
      </rPr>
      <t>2</t>
    </r>
    <r>
      <rPr>
        <b/>
        <sz val="10"/>
        <color theme="7" tint="-0.249977111117893"/>
        <rFont val="Calibri"/>
        <family val="2"/>
      </rPr>
      <t xml:space="preserve"> Total Costs (w VoSL)</t>
    </r>
  </si>
  <si>
    <t>Indoor impacts across New Zealand</t>
  </si>
  <si>
    <r>
      <rPr>
        <b/>
        <sz val="9"/>
        <color theme="4"/>
        <rFont val="Calibri"/>
        <family val="2"/>
      </rPr>
      <t xml:space="preserve">Note: </t>
    </r>
    <r>
      <rPr>
        <sz val="9"/>
        <color theme="4"/>
        <rFont val="Calibri"/>
        <family val="2"/>
      </rPr>
      <t xml:space="preserve">Total costs are based on the estimated appliance numbers from the </t>
    </r>
    <r>
      <rPr>
        <b/>
        <sz val="9"/>
        <color theme="4"/>
        <rFont val="Calibri"/>
        <family val="2"/>
      </rPr>
      <t>NZ nat data</t>
    </r>
    <r>
      <rPr>
        <sz val="9"/>
        <color theme="4"/>
        <rFont val="Calibri"/>
        <family val="2"/>
      </rPr>
      <t xml:space="preserve"> worksheet</t>
    </r>
  </si>
  <si>
    <t>assume 1 per HH</t>
  </si>
  <si>
    <t>Est numbers in NZ</t>
  </si>
  <si>
    <t>Gas hob</t>
  </si>
  <si>
    <t>UFG</t>
  </si>
  <si>
    <t>Appliance fuel use and annual outdoor emissions</t>
  </si>
  <si>
    <r>
      <t>This sheet estimates the typical annual wood and gas used by  indoor combustion appliances with estimates of PM</t>
    </r>
    <r>
      <rPr>
        <vertAlign val="subscript"/>
        <sz val="10"/>
        <color theme="1"/>
        <rFont val="Calibri"/>
        <family val="2"/>
      </rPr>
      <t>2.5</t>
    </r>
    <r>
      <rPr>
        <sz val="10"/>
        <color theme="1"/>
        <rFont val="Calibri"/>
        <family val="2"/>
      </rPr>
      <t xml:space="preserve"> &amp; NO</t>
    </r>
    <r>
      <rPr>
        <vertAlign val="subscript"/>
        <sz val="10"/>
        <color theme="1"/>
        <rFont val="Calibri"/>
        <family val="2"/>
      </rPr>
      <t>X</t>
    </r>
    <r>
      <rPr>
        <sz val="10"/>
        <color theme="1"/>
        <rFont val="Calibri"/>
        <family val="2"/>
      </rPr>
      <t xml:space="preserve"> emitted outdoors </t>
    </r>
  </si>
  <si>
    <r>
      <rPr>
        <b/>
        <sz val="9"/>
        <color theme="4"/>
        <rFont val="Calibri"/>
        <family val="2"/>
      </rPr>
      <t xml:space="preserve">Note: </t>
    </r>
    <r>
      <rPr>
        <sz val="9"/>
        <color theme="4"/>
        <rFont val="Calibri"/>
        <family val="2"/>
      </rPr>
      <t xml:space="preserve">The source for each fuel/emission factor is shown and described in full in the </t>
    </r>
    <r>
      <rPr>
        <b/>
        <sz val="9"/>
        <color theme="4"/>
        <rFont val="Calibri"/>
        <family val="2"/>
      </rPr>
      <t>References</t>
    </r>
    <r>
      <rPr>
        <sz val="9"/>
        <color theme="4"/>
        <rFont val="Calibri"/>
        <family val="2"/>
      </rPr>
      <t xml:space="preserve"> worksheet.</t>
    </r>
  </si>
  <si>
    <t>Wood burner fuel usage</t>
  </si>
  <si>
    <r>
      <t xml:space="preserve">Tables below from ECan (2024) </t>
    </r>
    <r>
      <rPr>
        <i/>
        <sz val="10"/>
        <color theme="1"/>
        <rFont val="Calibri"/>
        <family val="2"/>
      </rPr>
      <t>Home Heating Emissions Database</t>
    </r>
  </si>
  <si>
    <t>Wood burner EFs in g/kg</t>
  </si>
  <si>
    <t>in g/kg fuel</t>
  </si>
  <si>
    <t>burner_sort_id</t>
  </si>
  <si>
    <t>burner_type</t>
  </si>
  <si>
    <t>remark</t>
  </si>
  <si>
    <t>burner_id</t>
  </si>
  <si>
    <t>fuel_type</t>
  </si>
  <si>
    <r>
      <t>PM</t>
    </r>
    <r>
      <rPr>
        <b/>
        <vertAlign val="subscript"/>
        <sz val="10"/>
        <color theme="0" tint="-0.499984740745262"/>
        <rFont val="Calibri"/>
        <family val="2"/>
      </rPr>
      <t>10</t>
    </r>
  </si>
  <si>
    <r>
      <t>PM</t>
    </r>
    <r>
      <rPr>
        <b/>
        <vertAlign val="subscript"/>
        <sz val="10"/>
        <color rgb="FF000000"/>
        <rFont val="Calibri"/>
        <family val="2"/>
      </rPr>
      <t>2.5</t>
    </r>
  </si>
  <si>
    <t>CO</t>
  </si>
  <si>
    <t>NOx</t>
  </si>
  <si>
    <t>SOx</t>
  </si>
  <si>
    <t>CO2</t>
  </si>
  <si>
    <t>CH4</t>
  </si>
  <si>
    <t>VOC</t>
  </si>
  <si>
    <t>N2O</t>
  </si>
  <si>
    <t>NH3</t>
  </si>
  <si>
    <t>Coal</t>
  </si>
  <si>
    <t>Coal burners</t>
  </si>
  <si>
    <t>coal</t>
  </si>
  <si>
    <t>Wood - Older Style</t>
  </si>
  <si>
    <t>Wood burners that emit more than 1.5 g/kg, i.e. all the non-NES burners. These include  pre-1992 woodburners, 1992 to 2000 woodburners, open fires, and multifuel burners.</t>
  </si>
  <si>
    <t>wood_old_style</t>
  </si>
  <si>
    <t>Wood</t>
  </si>
  <si>
    <t>(Est g/day not g/kg - refer cell G24)</t>
  </si>
  <si>
    <t>Wood - 1.0 to 1.5</t>
  </si>
  <si>
    <t>Wood burners that emit between 1.0 g/kg and 1.5 g/kg</t>
  </si>
  <si>
    <t>wood_1p0_1p5</t>
  </si>
  <si>
    <t>Wood - LEB</t>
  </si>
  <si>
    <t>Wood burners - Low Emissions Burner Standard</t>
  </si>
  <si>
    <t>wood_leb</t>
  </si>
  <si>
    <t>Wood - ULEB</t>
  </si>
  <si>
    <t>Wood burners - Ultra Low Emissions Burner Standard</t>
  </si>
  <si>
    <t>wood_uleb</t>
  </si>
  <si>
    <t>Pellet burners</t>
  </si>
  <si>
    <t>pellet</t>
  </si>
  <si>
    <t>Pellet - ULE</t>
  </si>
  <si>
    <t>Pellet burners - Ultra Low Emissions</t>
  </si>
  <si>
    <t>pellet_ule</t>
  </si>
  <si>
    <t>Wood burner EFs in g/day (only for the older burners)</t>
  </si>
  <si>
    <t>in g/day</t>
  </si>
  <si>
    <t>caz_id</t>
  </si>
  <si>
    <t>fuel_group</t>
  </si>
  <si>
    <t>CHCH</t>
  </si>
  <si>
    <t>Wood - Older Style - includes open fires</t>
  </si>
  <si>
    <t>Wood burner fuel usage per winter's day in ChCh</t>
  </si>
  <si>
    <t>annual figures from the no of "winter" days on average per year in ChCh</t>
  </si>
  <si>
    <t>id</t>
  </si>
  <si>
    <t>airshed_id</t>
  </si>
  <si>
    <t>fuel_per_day_kg</t>
  </si>
  <si>
    <t>kg fuel per yr</t>
  </si>
  <si>
    <r>
      <t>kg PM</t>
    </r>
    <r>
      <rPr>
        <b/>
        <vertAlign val="subscript"/>
        <sz val="10"/>
        <color rgb="FF000000"/>
        <rFont val="Calibri"/>
        <family val="2"/>
      </rPr>
      <t>2.5</t>
    </r>
    <r>
      <rPr>
        <b/>
        <sz val="10"/>
        <color rgb="FF000000"/>
        <rFont val="Calibri"/>
        <family val="2"/>
      </rPr>
      <t xml:space="preserve"> per yr</t>
    </r>
  </si>
  <si>
    <t>CC</t>
  </si>
  <si>
    <t>n/a as not looking at coal</t>
  </si>
  <si>
    <t>value assumed  for open fire AND older (non-NES woodburner)</t>
  </si>
  <si>
    <t>value assumed  for newer (NES) burner</t>
  </si>
  <si>
    <t>not used</t>
  </si>
  <si>
    <t>value assumed for ULEB burner</t>
  </si>
  <si>
    <t>value assumed for pellet burner</t>
  </si>
  <si>
    <t>Wood burner fuel usage National average (adjusted by fuel use and seasonality)</t>
  </si>
  <si>
    <t>National</t>
  </si>
  <si>
    <t>area</t>
  </si>
  <si>
    <t>EECA appliance type</t>
  </si>
  <si>
    <t>ECan burner_id</t>
  </si>
  <si>
    <t>ECan fuel_group</t>
  </si>
  <si>
    <r>
      <t>ECan PM</t>
    </r>
    <r>
      <rPr>
        <b/>
        <vertAlign val="subscript"/>
        <sz val="10"/>
        <color rgb="FF000000"/>
        <rFont val="Calibri"/>
        <family val="2"/>
      </rPr>
      <t>2.5</t>
    </r>
    <r>
      <rPr>
        <b/>
        <sz val="10"/>
        <color rgb="FF000000"/>
        <rFont val="Calibri"/>
        <family val="2"/>
      </rPr>
      <t xml:space="preserve"> (g/kg)</t>
    </r>
  </si>
  <si>
    <r>
      <rPr>
        <b/>
        <sz val="10"/>
        <color theme="4"/>
        <rFont val="Calibri"/>
        <family val="2"/>
      </rPr>
      <t xml:space="preserve">Note: </t>
    </r>
    <r>
      <rPr>
        <sz val="10"/>
        <color theme="4"/>
        <rFont val="Calibri"/>
        <family val="2"/>
      </rPr>
      <t>NO</t>
    </r>
    <r>
      <rPr>
        <vertAlign val="subscript"/>
        <sz val="10"/>
        <color theme="4"/>
        <rFont val="Calibri"/>
        <family val="2"/>
      </rPr>
      <t>X</t>
    </r>
    <r>
      <rPr>
        <sz val="10"/>
        <color theme="4"/>
        <rFont val="Calibri"/>
        <family val="2"/>
      </rPr>
      <t xml:space="preserve"> emissions from wood burners </t>
    </r>
    <r>
      <rPr>
        <u/>
        <sz val="10"/>
        <color theme="4"/>
        <rFont val="Calibri"/>
        <family val="2"/>
      </rPr>
      <t>not</t>
    </r>
    <r>
      <rPr>
        <sz val="10"/>
        <color theme="4"/>
        <rFont val="Calibri"/>
        <family val="2"/>
      </rPr>
      <t xml:space="preserve"> estimated as indoor AQ only assessed for PM</t>
    </r>
    <r>
      <rPr>
        <vertAlign val="subscript"/>
        <sz val="10"/>
        <color theme="4"/>
        <rFont val="Calibri"/>
        <family val="2"/>
      </rPr>
      <t>2.5</t>
    </r>
  </si>
  <si>
    <t>NZ</t>
  </si>
  <si>
    <t>Wood burner relative usage (by month relative to a Winter's day) in ChCh</t>
  </si>
  <si>
    <t>no of days</t>
  </si>
  <si>
    <t>active_burners</t>
  </si>
  <si>
    <t>jan</t>
  </si>
  <si>
    <t>feb</t>
  </si>
  <si>
    <t>mar</t>
  </si>
  <si>
    <t>apr</t>
  </si>
  <si>
    <t>may</t>
  </si>
  <si>
    <t>jun</t>
  </si>
  <si>
    <t>jul</t>
  </si>
  <si>
    <t>aug</t>
  </si>
  <si>
    <t>sep</t>
  </si>
  <si>
    <t>oct</t>
  </si>
  <si>
    <t>nov</t>
  </si>
  <si>
    <t>dec</t>
  </si>
  <si>
    <t>No of "winter" days fuel on average</t>
  </si>
  <si>
    <t>Spring (Sep-Nov)</t>
  </si>
  <si>
    <t>Summer (Dec-Feb)</t>
  </si>
  <si>
    <t>Autumn (Mar-May)</t>
  </si>
  <si>
    <t>Winter (Jun-Aug)</t>
  </si>
  <si>
    <t>Annual</t>
  </si>
  <si>
    <t>Gas hob fuel usage</t>
  </si>
  <si>
    <t>From various sources as shown</t>
  </si>
  <si>
    <r>
      <t>NB: Not used in final report as Delgado-Saborit et al (2024) found no association between NO</t>
    </r>
    <r>
      <rPr>
        <vertAlign val="subscript"/>
        <sz val="10"/>
        <color theme="1"/>
        <rFont val="Calibri"/>
        <family val="2"/>
      </rPr>
      <t>2</t>
    </r>
    <r>
      <rPr>
        <sz val="10"/>
        <color theme="1"/>
        <rFont val="Calibri"/>
        <family val="2"/>
      </rPr>
      <t xml:space="preserve"> and extraction</t>
    </r>
  </si>
  <si>
    <t>Parameter</t>
  </si>
  <si>
    <t>Value</t>
  </si>
  <si>
    <t>Reference/Comment</t>
  </si>
  <si>
    <t>Daily average gas use</t>
  </si>
  <si>
    <t>l/hour</t>
  </si>
  <si>
    <t>PlusGas (2025) estimates for gas hobs</t>
  </si>
  <si>
    <t>Annual gas use</t>
  </si>
  <si>
    <t>assuming use hob 1 hour every day on average</t>
  </si>
  <si>
    <t>CV of LPG</t>
  </si>
  <si>
    <t>MJ/l</t>
  </si>
  <si>
    <t>Barber &amp; Stenning (2023)</t>
  </si>
  <si>
    <t>Annual gas use energy</t>
  </si>
  <si>
    <t>TJ/yr</t>
  </si>
  <si>
    <r>
      <t>NO</t>
    </r>
    <r>
      <rPr>
        <vertAlign val="subscript"/>
        <sz val="10"/>
        <color theme="0" tint="-0.499984740745262"/>
        <rFont val="Calibri"/>
        <family val="2"/>
      </rPr>
      <t>X</t>
    </r>
    <r>
      <rPr>
        <sz val="10"/>
        <color theme="0" tint="-0.499984740745262"/>
        <rFont val="Calibri"/>
        <family val="2"/>
      </rPr>
      <t xml:space="preserve"> EF for residential LPG combustion</t>
    </r>
  </si>
  <si>
    <t>kg/TJ</t>
  </si>
  <si>
    <t>GAPF (2019)</t>
  </si>
  <si>
    <t>Annual NOx emissions</t>
  </si>
  <si>
    <r>
      <t>kg NO</t>
    </r>
    <r>
      <rPr>
        <b/>
        <vertAlign val="subscript"/>
        <sz val="10"/>
        <color theme="0" tint="-0.499984740745262"/>
        <rFont val="Calibri"/>
        <family val="2"/>
      </rPr>
      <t>X</t>
    </r>
    <r>
      <rPr>
        <b/>
        <sz val="10"/>
        <color theme="0" tint="-0.499984740745262"/>
        <rFont val="Calibri"/>
        <family val="2"/>
      </rPr>
      <t xml:space="preserve"> per yr</t>
    </r>
  </si>
  <si>
    <r>
      <rPr>
        <b/>
        <sz val="10"/>
        <color theme="0" tint="-0.499984740745262"/>
        <rFont val="Calibri"/>
        <family val="2"/>
      </rPr>
      <t xml:space="preserve">Note: </t>
    </r>
    <r>
      <rPr>
        <sz val="10"/>
        <color theme="0" tint="-0.499984740745262"/>
        <rFont val="Calibri"/>
        <family val="2"/>
      </rPr>
      <t>PM</t>
    </r>
    <r>
      <rPr>
        <vertAlign val="subscript"/>
        <sz val="10"/>
        <color theme="0" tint="-0.499984740745262"/>
        <rFont val="Calibri"/>
        <family val="2"/>
      </rPr>
      <t>2.5</t>
    </r>
    <r>
      <rPr>
        <sz val="10"/>
        <color theme="0" tint="-0.499984740745262"/>
        <rFont val="Calibri"/>
        <family val="2"/>
      </rPr>
      <t xml:space="preserve"> emissions from gas hobs </t>
    </r>
    <r>
      <rPr>
        <u/>
        <sz val="10"/>
        <color theme="0" tint="-0.499984740745262"/>
        <rFont val="Calibri"/>
        <family val="2"/>
      </rPr>
      <t>not</t>
    </r>
    <r>
      <rPr>
        <sz val="10"/>
        <color theme="0" tint="-0.499984740745262"/>
        <rFont val="Calibri"/>
        <family val="2"/>
      </rPr>
      <t xml:space="preserve"> estimated as indoor AQ only assessed for NO</t>
    </r>
    <r>
      <rPr>
        <vertAlign val="subscript"/>
        <sz val="10"/>
        <color theme="0" tint="-0.499984740745262"/>
        <rFont val="Calibri"/>
        <family val="2"/>
      </rPr>
      <t>X</t>
    </r>
  </si>
  <si>
    <r>
      <t>This sheet presents the damage costs estimated per tonne of PM</t>
    </r>
    <r>
      <rPr>
        <vertAlign val="subscript"/>
        <sz val="10"/>
        <color theme="1"/>
        <rFont val="Calibri"/>
        <family val="2"/>
      </rPr>
      <t>2.5</t>
    </r>
    <r>
      <rPr>
        <sz val="10"/>
        <color theme="1"/>
        <rFont val="Calibri"/>
        <family val="2"/>
      </rPr>
      <t xml:space="preserve"> and NO</t>
    </r>
    <r>
      <rPr>
        <vertAlign val="subscript"/>
        <sz val="10"/>
        <color theme="1"/>
        <rFont val="Calibri"/>
        <family val="2"/>
      </rPr>
      <t>X</t>
    </r>
    <r>
      <rPr>
        <sz val="10"/>
        <color theme="1"/>
        <rFont val="Calibri"/>
        <family val="2"/>
      </rPr>
      <t xml:space="preserve"> emitted outdoors, in NZD as at June 2025</t>
    </r>
  </si>
  <si>
    <r>
      <rPr>
        <b/>
        <sz val="9"/>
        <color theme="4"/>
        <rFont val="Calibri"/>
        <family val="2"/>
      </rPr>
      <t xml:space="preserve">Note: </t>
    </r>
    <r>
      <rPr>
        <sz val="9"/>
        <color theme="4"/>
        <rFont val="Calibri"/>
        <family val="2"/>
      </rPr>
      <t xml:space="preserve">The sources used to update each damage cost are shown and described in full in the </t>
    </r>
    <r>
      <rPr>
        <b/>
        <sz val="9"/>
        <color theme="4"/>
        <rFont val="Calibri"/>
        <family val="2"/>
      </rPr>
      <t>References</t>
    </r>
    <r>
      <rPr>
        <sz val="9"/>
        <color theme="4"/>
        <rFont val="Calibri"/>
        <family val="2"/>
      </rPr>
      <t xml:space="preserve"> worksheet, with all assumptions clearly stated.</t>
    </r>
  </si>
  <si>
    <t xml:space="preserve">Original HAPINZ 3 damage costs </t>
  </si>
  <si>
    <t>(in $2019 and based on VoSL of $4,527,300)</t>
  </si>
  <si>
    <r>
      <t xml:space="preserve">Kuschel </t>
    </r>
    <r>
      <rPr>
        <i/>
        <sz val="10"/>
        <color theme="1"/>
        <rFont val="Calibri"/>
        <family val="2"/>
      </rPr>
      <t>et al</t>
    </r>
    <r>
      <rPr>
        <sz val="10"/>
        <color theme="1"/>
        <rFont val="Calibri"/>
        <family val="2"/>
      </rPr>
      <t xml:space="preserve"> (2022)</t>
    </r>
  </si>
  <si>
    <t>Pollutant</t>
  </si>
  <si>
    <t>Costs in $/tonne (at 2019)</t>
  </si>
  <si>
    <t>Urban</t>
  </si>
  <si>
    <t>Rural</t>
  </si>
  <si>
    <r>
      <t>PM</t>
    </r>
    <r>
      <rPr>
        <vertAlign val="subscript"/>
        <sz val="10"/>
        <rFont val="Calibri"/>
        <family val="2"/>
      </rPr>
      <t>2.5</t>
    </r>
  </si>
  <si>
    <r>
      <t>NO</t>
    </r>
    <r>
      <rPr>
        <vertAlign val="subscript"/>
        <sz val="10"/>
        <rFont val="Calibri"/>
        <family val="2"/>
      </rPr>
      <t>X</t>
    </r>
  </si>
  <si>
    <r>
      <t>SO</t>
    </r>
    <r>
      <rPr>
        <vertAlign val="subscript"/>
        <sz val="10"/>
        <rFont val="Calibri"/>
        <family val="2"/>
      </rPr>
      <t>2</t>
    </r>
  </si>
  <si>
    <t xml:space="preserve">Revised damage costs </t>
  </si>
  <si>
    <t>(in $2025 and based on VoSL of $15,691,757)</t>
  </si>
  <si>
    <t>Based on the costs per case from T Denne's Updated Economic Analysis using unlagged costs</t>
  </si>
  <si>
    <t>Costs in $/tonne (at 2025)</t>
  </si>
  <si>
    <t>Check factor</t>
  </si>
  <si>
    <r>
      <rPr>
        <b/>
        <sz val="9"/>
        <color theme="4"/>
        <rFont val="Calibri"/>
        <family val="2"/>
      </rPr>
      <t>Note:</t>
    </r>
    <r>
      <rPr>
        <sz val="9"/>
        <color theme="4"/>
        <rFont val="Calibri"/>
        <family val="2"/>
      </rPr>
      <t xml:space="preserve">  &lt;3.466 because PM costs are from mortality &amp; morbidity effects</t>
    </r>
  </si>
  <si>
    <r>
      <rPr>
        <b/>
        <sz val="9"/>
        <color theme="4"/>
        <rFont val="Calibri"/>
        <family val="2"/>
      </rPr>
      <t>Note:</t>
    </r>
    <r>
      <rPr>
        <sz val="9"/>
        <color theme="4"/>
        <rFont val="Calibri"/>
        <family val="2"/>
      </rPr>
      <t xml:space="preserve">  &lt;3.466 because NOx costs are from mortality &amp; morbidity effects</t>
    </r>
  </si>
  <si>
    <r>
      <t xml:space="preserve">same as in </t>
    </r>
    <r>
      <rPr>
        <b/>
        <sz val="9"/>
        <color theme="1"/>
        <rFont val="Calibri"/>
        <family val="2"/>
      </rPr>
      <t>Social costs</t>
    </r>
    <r>
      <rPr>
        <sz val="9"/>
        <color theme="1"/>
        <rFont val="Calibri"/>
        <family val="2"/>
      </rPr>
      <t xml:space="preserve"> for morbidity effects</t>
    </r>
  </si>
  <si>
    <t>Split into economic and fiscal as follows:</t>
  </si>
  <si>
    <t>Economic costs in $/tonne (at 2025)</t>
  </si>
  <si>
    <t>mortality costs only</t>
  </si>
  <si>
    <t>morbidity costs only so all fiscal</t>
  </si>
  <si>
    <t>Fiscal costs in $/tonne (at 2025)</t>
  </si>
  <si>
    <t>morbidity costs only</t>
  </si>
  <si>
    <t xml:space="preserve"> Outdoor impacts per HH</t>
  </si>
  <si>
    <t>This sheet estimates the per household outdoor air related health impacts and costs for the indoor combustion appliances assessed based on typical annual fuel usage</t>
  </si>
  <si>
    <r>
      <t xml:space="preserve">Note: </t>
    </r>
    <r>
      <rPr>
        <sz val="9"/>
        <color theme="4"/>
        <rFont val="Calibri"/>
        <family val="2"/>
      </rPr>
      <t>Total costs  for each appliance (in $ as at 2025) are estimated using damage costs split into economic and fiscal costs for NZ average, Rural and Urban exposure</t>
    </r>
    <r>
      <rPr>
        <b/>
        <sz val="9"/>
        <color theme="4"/>
        <rFont val="Calibri"/>
        <family val="2"/>
      </rPr>
      <t>.</t>
    </r>
  </si>
  <si>
    <t>Outdoor air pollution impacts (NZ average costs in $ as at 2025)</t>
  </si>
  <si>
    <r>
      <t>PM</t>
    </r>
    <r>
      <rPr>
        <b/>
        <vertAlign val="subscript"/>
        <sz val="11"/>
        <color theme="5"/>
        <rFont val="Calibri"/>
        <family val="2"/>
      </rPr>
      <t>2.5</t>
    </r>
    <r>
      <rPr>
        <b/>
        <sz val="11"/>
        <color theme="5"/>
        <rFont val="Calibri"/>
        <family val="2"/>
      </rPr>
      <t xml:space="preserve"> costs ($/tonne)</t>
    </r>
  </si>
  <si>
    <t>kg emitted per yr outside</t>
  </si>
  <si>
    <t>Economic costs (NZ)</t>
  </si>
  <si>
    <t>Fiscal costs (NZ)</t>
  </si>
  <si>
    <t>Total costs (NZ)</t>
  </si>
  <si>
    <r>
      <t>No outdoor PM</t>
    </r>
    <r>
      <rPr>
        <vertAlign val="subscript"/>
        <sz val="10"/>
        <rFont val="Calibri"/>
        <family val="2"/>
      </rPr>
      <t>2.5</t>
    </r>
    <r>
      <rPr>
        <sz val="10"/>
        <rFont val="Calibri"/>
        <family val="2"/>
      </rPr>
      <t xml:space="preserve"> emissions</t>
    </r>
  </si>
  <si>
    <r>
      <t>No outdoor PM</t>
    </r>
    <r>
      <rPr>
        <vertAlign val="subscript"/>
        <sz val="10"/>
        <rFont val="Calibri"/>
        <family val="2"/>
      </rPr>
      <t>2.5</t>
    </r>
    <r>
      <rPr>
        <sz val="10"/>
        <rFont val="Calibri"/>
        <family val="2"/>
      </rPr>
      <t xml:space="preserve"> emissions estimated, likely negligible</t>
    </r>
  </si>
  <si>
    <t>Based on annual estimated fuel use &amp; emissions from ECan (2024)</t>
  </si>
  <si>
    <t>Assumed open fire &amp; non-NES the same in ECan (2024)</t>
  </si>
  <si>
    <r>
      <t>NO</t>
    </r>
    <r>
      <rPr>
        <b/>
        <vertAlign val="subscript"/>
        <sz val="11"/>
        <color theme="7" tint="-0.249977111117893"/>
        <rFont val="Calibri"/>
        <family val="2"/>
      </rPr>
      <t>X</t>
    </r>
    <r>
      <rPr>
        <b/>
        <sz val="11"/>
        <color theme="7" tint="-0.249977111117893"/>
        <rFont val="Calibri"/>
        <family val="2"/>
      </rPr>
      <t xml:space="preserve"> damage costs ($/tonne)</t>
    </r>
  </si>
  <si>
    <r>
      <t xml:space="preserve">Note </t>
    </r>
    <r>
      <rPr>
        <b/>
        <u/>
        <sz val="10"/>
        <color rgb="FFFF0000"/>
        <rFont val="Calibri"/>
        <family val="2"/>
      </rPr>
      <t>not</t>
    </r>
    <r>
      <rPr>
        <b/>
        <sz val="10"/>
        <color rgb="FFFF0000"/>
        <rFont val="Calibri"/>
        <family val="2"/>
      </rPr>
      <t xml:space="preserve"> NO</t>
    </r>
    <r>
      <rPr>
        <b/>
        <vertAlign val="subscript"/>
        <sz val="10"/>
        <color rgb="FFFF0000"/>
        <rFont val="Calibri"/>
        <family val="2"/>
      </rPr>
      <t>2</t>
    </r>
  </si>
  <si>
    <r>
      <t>NO</t>
    </r>
    <r>
      <rPr>
        <b/>
        <vertAlign val="subscript"/>
        <sz val="10"/>
        <color theme="7" tint="-0.249977111117893"/>
        <rFont val="Calibri"/>
        <family val="2"/>
      </rPr>
      <t>X</t>
    </r>
  </si>
  <si>
    <r>
      <t>No outdoor NO</t>
    </r>
    <r>
      <rPr>
        <vertAlign val="subscript"/>
        <sz val="10"/>
        <rFont val="Calibri"/>
        <family val="2"/>
      </rPr>
      <t>X</t>
    </r>
    <r>
      <rPr>
        <sz val="10"/>
        <rFont val="Calibri"/>
        <family val="2"/>
      </rPr>
      <t xml:space="preserve"> emissions</t>
    </r>
  </si>
  <si>
    <r>
      <t>No outdoor NO</t>
    </r>
    <r>
      <rPr>
        <vertAlign val="subscript"/>
        <sz val="10"/>
        <rFont val="Calibri"/>
        <family val="2"/>
      </rPr>
      <t>X</t>
    </r>
    <r>
      <rPr>
        <sz val="10"/>
        <rFont val="Calibri"/>
        <family val="2"/>
      </rPr>
      <t xml:space="preserve"> emissions, assumed all NOX released indoors</t>
    </r>
  </si>
  <si>
    <r>
      <t>Outdoor NOx emissions not estimated as indoors PM</t>
    </r>
    <r>
      <rPr>
        <vertAlign val="subscript"/>
        <sz val="10"/>
        <rFont val="Calibri"/>
        <family val="2"/>
      </rPr>
      <t xml:space="preserve">2.5 </t>
    </r>
    <r>
      <rPr>
        <sz val="10"/>
        <rFont val="Calibri"/>
        <family val="2"/>
      </rPr>
      <t>only</t>
    </r>
  </si>
  <si>
    <r>
      <t>No outdoor NO</t>
    </r>
    <r>
      <rPr>
        <vertAlign val="subscript"/>
        <sz val="10"/>
        <rFont val="Calibri"/>
        <family val="2"/>
      </rPr>
      <t>X</t>
    </r>
    <r>
      <rPr>
        <sz val="10"/>
        <rFont val="Calibri"/>
        <family val="2"/>
      </rPr>
      <t xml:space="preserve"> emissions, assumed all NO</t>
    </r>
    <r>
      <rPr>
        <vertAlign val="subscript"/>
        <sz val="10"/>
        <rFont val="Calibri"/>
        <family val="2"/>
      </rPr>
      <t>X</t>
    </r>
    <r>
      <rPr>
        <sz val="10"/>
        <rFont val="Calibri"/>
        <family val="2"/>
      </rPr>
      <t xml:space="preserve"> released indoors</t>
    </r>
  </si>
  <si>
    <t>Outdoor air pollution impacts (Rural costs in $ as at 2025)</t>
  </si>
  <si>
    <t>Economic costs (Rural)</t>
  </si>
  <si>
    <t>Fiscal costs (Rural)</t>
  </si>
  <si>
    <t>Total costs (Rural)</t>
  </si>
  <si>
    <t>Outdoor air pollution impacts (Urban costs in $ as at 2025)</t>
  </si>
  <si>
    <t>Economic costs (Urban)</t>
  </si>
  <si>
    <t>Fiscal costs (Urban)</t>
  </si>
  <si>
    <t>Total costs (Urban)</t>
  </si>
  <si>
    <t xml:space="preserve"> Outdoor impacts across New Zealand</t>
  </si>
  <si>
    <t>This sheet estimates the total NZ outdoor air related health impacts and costs for the indoor combustion appliances assessed based on typical annual fuel usage</t>
  </si>
  <si>
    <r>
      <t xml:space="preserve">Note: </t>
    </r>
    <r>
      <rPr>
        <sz val="9"/>
        <color theme="4"/>
        <rFont val="Calibri"/>
        <family val="2"/>
      </rPr>
      <t xml:space="preserve">Total costs are based on the estimated appliance numbers from the </t>
    </r>
    <r>
      <rPr>
        <b/>
        <sz val="9"/>
        <color theme="4"/>
        <rFont val="Calibri"/>
        <family val="2"/>
      </rPr>
      <t>NZ nat data</t>
    </r>
    <r>
      <rPr>
        <sz val="9"/>
        <color theme="4"/>
        <rFont val="Calibri"/>
        <family val="2"/>
      </rPr>
      <t xml:space="preserve"> worksheet</t>
    </r>
  </si>
  <si>
    <t>Estimated No</t>
  </si>
  <si>
    <t>of Appliances</t>
  </si>
  <si>
    <t>Assumed split</t>
  </si>
  <si>
    <r>
      <t xml:space="preserve">This sheet defines all terms and abbreviations </t>
    </r>
    <r>
      <rPr>
        <b/>
        <sz val="10"/>
        <color theme="1"/>
        <rFont val="Calibri"/>
        <family val="2"/>
      </rPr>
      <t>used in this model</t>
    </r>
  </si>
  <si>
    <t>A</t>
  </si>
  <si>
    <t>ALA</t>
  </si>
  <si>
    <t>American Lung Association</t>
  </si>
  <si>
    <t>autumn</t>
  </si>
  <si>
    <t>the months of March, April and May</t>
  </si>
  <si>
    <t>C</t>
  </si>
  <si>
    <t>cardiovascular</t>
  </si>
  <si>
    <t>of, pertaining to, or affecting the heart and blood vessels</t>
  </si>
  <si>
    <t>case</t>
  </si>
  <si>
    <t>a single instance of an adverse health outcome</t>
  </si>
  <si>
    <t>CBAx</t>
  </si>
  <si>
    <t>cost-benefit analysis tool, provided by NZ Treasury</t>
  </si>
  <si>
    <t>CI</t>
  </si>
  <si>
    <t>confidence interval – a measure of the certainty that a value falls within a given range, e.g. a 95% CI is the range within which there is a 95% probability that the value we are interested in actually sits</t>
  </si>
  <si>
    <t>E</t>
  </si>
  <si>
    <t>ECan</t>
  </si>
  <si>
    <t>Canterbury Regional Council</t>
  </si>
  <si>
    <t>economic costs</t>
  </si>
  <si>
    <t>costs that consider the broader impact on the entire economy, including things like employment and wage effects</t>
  </si>
  <si>
    <t>EECA</t>
  </si>
  <si>
    <r>
      <t>Energy Efficiency and Conservation Authority Te Tari Tiaki P</t>
    </r>
    <r>
      <rPr>
        <sz val="10"/>
        <color theme="1"/>
        <rFont val="Aptos Narrow"/>
        <family val="2"/>
      </rPr>
      <t>ū</t>
    </r>
    <r>
      <rPr>
        <sz val="10"/>
        <color theme="1"/>
        <rFont val="Calibri"/>
        <family val="2"/>
      </rPr>
      <t>ngao</t>
    </r>
  </si>
  <si>
    <t>exposure-response function or relative risk function, the increase in risk for every increment in pollution</t>
  </si>
  <si>
    <t>F</t>
  </si>
  <si>
    <t>fiscal costs</t>
  </si>
  <si>
    <t>costs that relate to the financial impact on public entities (like government)</t>
  </si>
  <si>
    <t>G</t>
  </si>
  <si>
    <t>GAPF</t>
  </si>
  <si>
    <t>Global Atmospheric Pollution Forum</t>
  </si>
  <si>
    <t>gas stove</t>
  </si>
  <si>
    <t>a gas appliance used for cooking, also known as a gas hob or gas cooktop but not enclosed like a gas oven</t>
  </si>
  <si>
    <t>H</t>
  </si>
  <si>
    <t xml:space="preserve">HAPINZ </t>
  </si>
  <si>
    <t>Health and Air Pollution in New Zealand study</t>
  </si>
  <si>
    <t>HAPINZ 3.0</t>
  </si>
  <si>
    <r>
      <t xml:space="preserve">the current HAPINZ update for 2016, undertaken by Kuschel </t>
    </r>
    <r>
      <rPr>
        <i/>
        <sz val="10"/>
        <color theme="1"/>
        <rFont val="Calibri"/>
        <family val="2"/>
      </rPr>
      <t>et al</t>
    </r>
    <r>
      <rPr>
        <sz val="10"/>
        <color theme="1"/>
        <rFont val="Calibri"/>
        <family val="2"/>
      </rPr>
      <t xml:space="preserve"> (2022)</t>
    </r>
  </si>
  <si>
    <t>harmful emissions</t>
  </si>
  <si>
    <t>emissions of air pollutants such as particulate matter and nitrogen dioxide which impact human health locally</t>
  </si>
  <si>
    <t>health outcome</t>
  </si>
  <si>
    <t>an adverse effect associated with exposure, e.g. a respiratory hospital admission</t>
  </si>
  <si>
    <t>HH</t>
  </si>
  <si>
    <t>household</t>
  </si>
  <si>
    <t>I</t>
  </si>
  <si>
    <t>incidence</t>
  </si>
  <si>
    <r>
      <t xml:space="preserve">the proportion or rate of persons who </t>
    </r>
    <r>
      <rPr>
        <i/>
        <sz val="10"/>
        <color theme="1"/>
        <rFont val="Calibri"/>
        <family val="2"/>
      </rPr>
      <t>develop</t>
    </r>
    <r>
      <rPr>
        <sz val="10"/>
        <color theme="1"/>
        <rFont val="Calibri"/>
        <family val="2"/>
      </rPr>
      <t xml:space="preserve"> a condition during a particular time period</t>
    </r>
  </si>
  <si>
    <t>M</t>
  </si>
  <si>
    <t>MBCM</t>
  </si>
  <si>
    <t>Monetised Benefits and Costs Manual, produced by NZ Transport Agency Waka Kotahi</t>
  </si>
  <si>
    <t>MfE</t>
  </si>
  <si>
    <r>
      <t>Ministry for the Environment Manat</t>
    </r>
    <r>
      <rPr>
        <sz val="10"/>
        <color theme="1"/>
        <rFont val="Aptos Narrow"/>
        <family val="2"/>
      </rPr>
      <t>ū</t>
    </r>
    <r>
      <rPr>
        <sz val="10"/>
        <color theme="1"/>
        <rFont val="Calibri"/>
        <family val="2"/>
      </rPr>
      <t xml:space="preserve"> M</t>
    </r>
    <r>
      <rPr>
        <sz val="10"/>
        <color theme="1"/>
        <rFont val="Aptos Narrow"/>
        <family val="2"/>
      </rPr>
      <t>ō</t>
    </r>
    <r>
      <rPr>
        <sz val="10"/>
        <color theme="1"/>
        <rFont val="Calibri"/>
        <family val="2"/>
      </rPr>
      <t xml:space="preserve"> Te Taiao</t>
    </r>
  </si>
  <si>
    <t>morbidity</t>
  </si>
  <si>
    <t>ill health or suffering</t>
  </si>
  <si>
    <t>mortality</t>
  </si>
  <si>
    <t>death</t>
  </si>
  <si>
    <t>N</t>
  </si>
  <si>
    <t>NES</t>
  </si>
  <si>
    <t>The Resource Management (National Environmental Standards for Air Quality) Regulations 2004 which include a suite of ambient air quality standards and a woodburner emission limit</t>
  </si>
  <si>
    <t>NES-compliant wood burner</t>
  </si>
  <si>
    <t xml:space="preserve">a wood burner that emits less than 1.5 grams of PM per kilogram of dry wood burnt and has a thermal efficiency of no less than 65% </t>
  </si>
  <si>
    <r>
      <rPr>
        <sz val="10"/>
        <color theme="1"/>
        <rFont val="Calibri"/>
        <family val="2"/>
      </rPr>
      <t>NO</t>
    </r>
    <r>
      <rPr>
        <vertAlign val="subscript"/>
        <sz val="10"/>
        <color theme="1"/>
        <rFont val="Calibri"/>
        <family val="2"/>
      </rPr>
      <t>2</t>
    </r>
  </si>
  <si>
    <t>nitrogen dioxide, a harmful pollutant</t>
  </si>
  <si>
    <t>non-NES wood burner</t>
  </si>
  <si>
    <t xml:space="preserve">a woodburner (older than 2005 or installed on a property larger than 2 hectares) that emits more than 1.5 grams of PM per kilogram of dry wood burnt  </t>
  </si>
  <si>
    <t>O</t>
  </si>
  <si>
    <t>open fire</t>
  </si>
  <si>
    <t xml:space="preserve">a non-enclosed (open) appliance that burns wood or coal to heat a home, especially in winter </t>
  </si>
  <si>
    <t>P</t>
  </si>
  <si>
    <t>PAF</t>
  </si>
  <si>
    <t>population attributable fraction, the estimated percentage of total health cases that are attributable to air pollution exposure</t>
  </si>
  <si>
    <t>pellet burner</t>
  </si>
  <si>
    <t>an appliance that burns uniformly-sized wood pellets with controlled feedrate and combustion conditions.  Pellet burners emit less PM than NES-compliant wood burners and some models meet the ULEB requirements</t>
  </si>
  <si>
    <t>PM</t>
  </si>
  <si>
    <t>particulate matter</t>
  </si>
  <si>
    <r>
      <t>PM</t>
    </r>
    <r>
      <rPr>
        <vertAlign val="subscript"/>
        <sz val="10"/>
        <color theme="1"/>
        <rFont val="Calibri"/>
        <family val="2"/>
      </rPr>
      <t>2.5</t>
    </r>
  </si>
  <si>
    <t>particulate matter less than 2.5µm, a harmful pollutant</t>
  </si>
  <si>
    <t>prevalence</t>
  </si>
  <si>
    <r>
      <t xml:space="preserve">the proportion of a population who </t>
    </r>
    <r>
      <rPr>
        <i/>
        <sz val="10"/>
        <color theme="1"/>
        <rFont val="Calibri"/>
        <family val="2"/>
      </rPr>
      <t>have</t>
    </r>
    <r>
      <rPr>
        <sz val="10"/>
        <color theme="1"/>
        <rFont val="Calibri"/>
        <family val="2"/>
      </rPr>
      <t xml:space="preserve"> a specific characteristic in a given time period</t>
    </r>
  </si>
  <si>
    <t>R</t>
  </si>
  <si>
    <t>restricted activity day, a day on which people cannot do the things they might otherwise have done if air pollution was not present</t>
  </si>
  <si>
    <t>respiratory</t>
  </si>
  <si>
    <t>of, pertaining to, or affecting the lungs and airways</t>
  </si>
  <si>
    <t>RR</t>
  </si>
  <si>
    <t>risk ratio</t>
  </si>
  <si>
    <t>S</t>
  </si>
  <si>
    <t>social cost</t>
  </si>
  <si>
    <t>the total costs to society of health effects, which are more than just the costs incurred by the health system, e.g. the costs of lost productivity and suffering</t>
  </si>
  <si>
    <t>spring</t>
  </si>
  <si>
    <t>the months of September, October and November</t>
  </si>
  <si>
    <t>StatsNZ</t>
  </si>
  <si>
    <t>StatisticsNZ Tatauranga Aotearoa, the public service department charged with the collection of statistics related to the economy, population and society of NZ</t>
  </si>
  <si>
    <t>summer</t>
  </si>
  <si>
    <t>the months of December, January and February when average ambient temperatures are typically at their highest</t>
  </si>
  <si>
    <t>U</t>
  </si>
  <si>
    <r>
      <t>µg/m</t>
    </r>
    <r>
      <rPr>
        <vertAlign val="superscript"/>
        <sz val="10"/>
        <color theme="1"/>
        <rFont val="Calibri"/>
        <family val="2"/>
      </rPr>
      <t>3</t>
    </r>
  </si>
  <si>
    <t>microgram per cubic metre, a unit of concentration</t>
  </si>
  <si>
    <t>µm</t>
  </si>
  <si>
    <t>micrometre, one millionth of a metre</t>
  </si>
  <si>
    <t>ULEB</t>
  </si>
  <si>
    <t>ultra low emissions burner</t>
  </si>
  <si>
    <t>a wood burner that meets an emissions and efficiency standard of 38 milligrams per megajoule of useful energy and have a thermal efficiency of 65% or greater.   ULEBs typically emit less than 1/3 of the PM emitted by a NES-compliant burner.</t>
  </si>
  <si>
    <t>unflued gas heater</t>
  </si>
  <si>
    <t>a home heating appliance burning gas but with all combustion products emitted inside (i.e. not vented/flued outside)</t>
  </si>
  <si>
    <t>V</t>
  </si>
  <si>
    <t>value of a life year</t>
  </si>
  <si>
    <t>value of statistical life</t>
  </si>
  <si>
    <t>W</t>
  </si>
  <si>
    <t>winter</t>
  </si>
  <si>
    <t>the months of June, July and August when average ambient temperatures are typically at their lowest</t>
  </si>
  <si>
    <t>wood burner</t>
  </si>
  <si>
    <t xml:space="preserve">an enclosed appliance that burns wood to heat a home, especially in winter </t>
  </si>
  <si>
    <t>Y</t>
  </si>
  <si>
    <t>YLL</t>
  </si>
  <si>
    <t>year of life lost</t>
  </si>
  <si>
    <t>This sheet lists all references used for the modelling</t>
  </si>
  <si>
    <r>
      <t xml:space="preserve">ALA (1995).  </t>
    </r>
    <r>
      <rPr>
        <i/>
        <sz val="10"/>
        <color theme="1"/>
        <rFont val="Calibri"/>
        <family val="2"/>
      </rPr>
      <t>Dollars and cents: The economic and health benefits of potential particulate matter reduction in the United States.</t>
    </r>
    <r>
      <rPr>
        <sz val="10"/>
        <color theme="1"/>
        <rFont val="Calibri"/>
        <family val="2"/>
      </rPr>
      <t xml:space="preserve">  </t>
    </r>
  </si>
  <si>
    <t>American Lung Association, 1740 Broadway, New York.</t>
  </si>
  <si>
    <r>
      <t xml:space="preserve">Barber &amp; Stenning (2023).  </t>
    </r>
    <r>
      <rPr>
        <i/>
        <sz val="10"/>
        <color theme="1"/>
        <rFont val="Calibri"/>
        <family val="2"/>
      </rPr>
      <t>New Zealand fuel and electricity total primary energy and life cycle greenhouse gas emission factors 2023</t>
    </r>
    <r>
      <rPr>
        <sz val="10"/>
        <color theme="1"/>
        <rFont val="Calibri"/>
        <family val="2"/>
      </rPr>
      <t xml:space="preserve">.  </t>
    </r>
  </si>
  <si>
    <t>Report by A Barber &amp; H Stenning, Agrilink New Zealand Ltd, August 2023.</t>
  </si>
  <si>
    <t>https://agrilink.co.nz/wp-content/uploads/2024/03/Fuel-LCA-emission-factors-2023-2.pdf</t>
  </si>
  <si>
    <r>
      <t xml:space="preserve">Chakraborty </t>
    </r>
    <r>
      <rPr>
        <i/>
        <sz val="10"/>
        <color theme="1"/>
        <rFont val="Calibri"/>
        <family val="2"/>
      </rPr>
      <t>et al</t>
    </r>
    <r>
      <rPr>
        <sz val="10"/>
        <color theme="1"/>
        <rFont val="Calibri"/>
        <family val="2"/>
      </rPr>
      <t xml:space="preserve"> (2020).   Indoor Air Pollution from Residential Stoves: Examining the Flooding of Particulate Matter into Homes during Real-World Use. </t>
    </r>
  </si>
  <si>
    <r>
      <t xml:space="preserve">R Chakraborty, J Heydon, M Mayfield &amp; L Mihaylova, </t>
    </r>
    <r>
      <rPr>
        <i/>
        <sz val="10"/>
        <color theme="1"/>
        <rFont val="Calibri"/>
        <family val="2"/>
      </rPr>
      <t>Atmosphere</t>
    </r>
    <r>
      <rPr>
        <sz val="10"/>
        <color theme="1"/>
        <rFont val="Calibri"/>
        <family val="2"/>
      </rPr>
      <t xml:space="preserve"> 2020, </t>
    </r>
    <r>
      <rPr>
        <b/>
        <sz val="10"/>
        <color theme="1"/>
        <rFont val="Calibri"/>
        <family val="2"/>
      </rPr>
      <t>11</t>
    </r>
    <r>
      <rPr>
        <sz val="10"/>
        <color theme="1"/>
        <rFont val="Calibri"/>
        <family val="2"/>
      </rPr>
      <t>(12), 1326, 7 December 2020.</t>
    </r>
  </si>
  <si>
    <t>https://doi.org/10.3390/atmos11121326</t>
  </si>
  <si>
    <r>
      <t xml:space="preserve">Denne </t>
    </r>
    <r>
      <rPr>
        <i/>
        <sz val="10"/>
        <color theme="1"/>
        <rFont val="Calibri"/>
        <family val="2"/>
      </rPr>
      <t xml:space="preserve">et al </t>
    </r>
    <r>
      <rPr>
        <sz val="10"/>
        <color theme="1"/>
        <rFont val="Calibri"/>
        <family val="2"/>
      </rPr>
      <t xml:space="preserve">(2023).  </t>
    </r>
    <r>
      <rPr>
        <i/>
        <sz val="10"/>
        <color theme="1"/>
        <rFont val="Calibri"/>
        <family val="2"/>
      </rPr>
      <t>Monetised benefits and costs manual (MBCM) parameter values: Results of a survey to derive values for road safety, travel time and reliability</t>
    </r>
    <r>
      <rPr>
        <sz val="10"/>
        <color theme="1"/>
        <rFont val="Calibri"/>
        <family val="2"/>
      </rPr>
      <t xml:space="preserve">. </t>
    </r>
  </si>
  <si>
    <t>Report by T Denne, G Kerr, A Stroombergen, D Glover, M Winder, B Gribben &amp; N Tee, Waka Kotahi NZ Transport Agency research report 698, February 2023.</t>
  </si>
  <si>
    <t>https://www.nzta.govt.nz/assets/resources/research/reports/698/698-monetised-benefits-and-costs-manual-mbcm-parameter-values.pdf</t>
  </si>
  <si>
    <r>
      <t xml:space="preserve">ECan (2024).   </t>
    </r>
    <r>
      <rPr>
        <i/>
        <sz val="10"/>
        <color theme="1"/>
        <rFont val="Calibri"/>
        <family val="2"/>
      </rPr>
      <t>Canterbury Home Heating Emissions Database.</t>
    </r>
  </si>
  <si>
    <t>MS Access database developed for Canterbury Regional Council by Emission Impossible and M&amp;P Consulting, May 2024.</t>
  </si>
  <si>
    <t>Available on request</t>
  </si>
  <si>
    <r>
      <t xml:space="preserve">Fleisch </t>
    </r>
    <r>
      <rPr>
        <i/>
        <sz val="10"/>
        <color theme="1"/>
        <rFont val="Calibri"/>
        <family val="2"/>
      </rPr>
      <t>et al</t>
    </r>
    <r>
      <rPr>
        <sz val="10"/>
        <color theme="1"/>
        <rFont val="Calibri"/>
        <family val="2"/>
      </rPr>
      <t xml:space="preserve"> (2019).  Residential wood stove use and indoor exposure to PM</t>
    </r>
    <r>
      <rPr>
        <vertAlign val="subscript"/>
        <sz val="10"/>
        <color theme="1"/>
        <rFont val="Calibri"/>
        <family val="2"/>
      </rPr>
      <t>2.5</t>
    </r>
    <r>
      <rPr>
        <sz val="10"/>
        <color theme="1"/>
        <rFont val="Calibri"/>
        <family val="2"/>
      </rPr>
      <t xml:space="preserve"> and its components in Northern New England</t>
    </r>
  </si>
  <si>
    <r>
      <t xml:space="preserve">A Fleisch, L Rokoff, E Garshick, S Grady, J Chipman, E Baker, P Koutrakis &amp; M Karagas,  </t>
    </r>
    <r>
      <rPr>
        <i/>
        <sz val="10"/>
        <color theme="1"/>
        <rFont val="Calibri"/>
        <family val="2"/>
      </rPr>
      <t>J Expo Sci Environ Epidemiol</t>
    </r>
    <r>
      <rPr>
        <sz val="10"/>
        <color theme="1"/>
        <rFont val="Calibri"/>
        <family val="2"/>
      </rPr>
      <t xml:space="preserve"> </t>
    </r>
    <r>
      <rPr>
        <b/>
        <sz val="10"/>
        <color theme="1"/>
        <rFont val="Calibri"/>
        <family val="2"/>
      </rPr>
      <t>30</t>
    </r>
    <r>
      <rPr>
        <sz val="10"/>
        <color theme="1"/>
        <rFont val="Calibri"/>
        <family val="2"/>
      </rPr>
      <t>, 350–361 (2020), 28 June 2019.</t>
    </r>
  </si>
  <si>
    <t xml:space="preserve">https://doi.org/10.1038/s41370-019-0151-4 </t>
  </si>
  <si>
    <r>
      <t xml:space="preserve">GAPF (2019).  </t>
    </r>
    <r>
      <rPr>
        <i/>
        <sz val="10"/>
        <color theme="1"/>
        <rFont val="Calibri"/>
        <family val="2"/>
      </rPr>
      <t>Global Atmospheric Pollution Forum Air Pollutant Emission Inventory (GAP-EI) Manual and Workbook v7.5.1.</t>
    </r>
  </si>
  <si>
    <t>Global Atmospheric Pollution Forum, May 2019.</t>
  </si>
  <si>
    <t xml:space="preserve">https://www.sei.org/tools/gap-global-air-pollution-forum-emission-manual/ </t>
  </si>
  <si>
    <r>
      <t xml:space="preserve">Gillespie-Bennett </t>
    </r>
    <r>
      <rPr>
        <i/>
        <sz val="10"/>
        <rFont val="Calibri"/>
        <family val="2"/>
      </rPr>
      <t xml:space="preserve">et al </t>
    </r>
    <r>
      <rPr>
        <sz val="10"/>
        <rFont val="Calibri"/>
        <family val="2"/>
      </rPr>
      <t>(2008).  Sources of nitrogen dioxide (NO</t>
    </r>
    <r>
      <rPr>
        <vertAlign val="subscript"/>
        <sz val="10"/>
        <rFont val="Calibri"/>
        <family val="2"/>
      </rPr>
      <t>2</t>
    </r>
    <r>
      <rPr>
        <sz val="10"/>
        <rFont val="Calibri"/>
        <family val="2"/>
      </rPr>
      <t>) in New Zealand homes: findings from a community randomized controlled trial of heater substitutions.</t>
    </r>
  </si>
  <si>
    <t>J Gillespie-Bennett, N Pierse, K Wickens, J Crane, S Nicholls, D Shields, M Boulic, H Viggers, M Baker, A Woodward, P Howden-Chapman, The Housing, Heating, and Health Team,</t>
  </si>
  <si>
    <r>
      <rPr>
        <i/>
        <sz val="10"/>
        <color theme="1"/>
        <rFont val="Calibri"/>
        <family val="2"/>
      </rPr>
      <t xml:space="preserve">Indoor Air </t>
    </r>
    <r>
      <rPr>
        <sz val="10"/>
        <color theme="1"/>
        <rFont val="Calibri"/>
        <family val="2"/>
      </rPr>
      <t xml:space="preserve">2008: </t>
    </r>
    <r>
      <rPr>
        <b/>
        <sz val="10"/>
        <color theme="1"/>
        <rFont val="Calibri"/>
        <family val="2"/>
      </rPr>
      <t>18</t>
    </r>
    <r>
      <rPr>
        <sz val="10"/>
        <color theme="1"/>
        <rFont val="Calibri"/>
        <family val="2"/>
      </rPr>
      <t>:521-528, 18 November 2008.</t>
    </r>
  </si>
  <si>
    <t>https://doi.org/10.1111/j.1600-0668.2008.00554.x</t>
  </si>
  <si>
    <r>
      <t xml:space="preserve">Hales </t>
    </r>
    <r>
      <rPr>
        <i/>
        <sz val="10"/>
        <color theme="1"/>
        <rFont val="Calibri"/>
        <family val="2"/>
      </rPr>
      <t>et al</t>
    </r>
    <r>
      <rPr>
        <sz val="10"/>
        <color theme="1"/>
        <rFont val="Calibri"/>
        <family val="2"/>
      </rPr>
      <t xml:space="preserve"> (2021).   Long term exposure to air pollution, mortality and morbidity in New Zealand: Cohort study.  </t>
    </r>
  </si>
  <si>
    <r>
      <t xml:space="preserve">S Hales, J Atkinson, J Metcalfe, G Kuschel &amp; A Woodward, </t>
    </r>
    <r>
      <rPr>
        <i/>
        <sz val="10"/>
        <color theme="1"/>
        <rFont val="Calibri"/>
        <family val="2"/>
      </rPr>
      <t xml:space="preserve">Sci Tot Env </t>
    </r>
    <r>
      <rPr>
        <b/>
        <sz val="10"/>
        <color theme="1"/>
        <rFont val="Calibri"/>
        <family val="2"/>
      </rPr>
      <t>801</t>
    </r>
    <r>
      <rPr>
        <sz val="10"/>
        <color theme="1"/>
        <rFont val="Calibri"/>
        <family val="2"/>
      </rPr>
      <t>:149660, December 2021.</t>
    </r>
  </si>
  <si>
    <t>https://doi.org/10.1016/j.scitotenv.2021.149660</t>
  </si>
  <si>
    <r>
      <t xml:space="preserve">Kashtan </t>
    </r>
    <r>
      <rPr>
        <i/>
        <sz val="10"/>
        <rFont val="Calibri"/>
        <family val="2"/>
      </rPr>
      <t>et al</t>
    </r>
    <r>
      <rPr>
        <sz val="10"/>
        <rFont val="Calibri"/>
        <family val="2"/>
      </rPr>
      <t xml:space="preserve"> (2024).  Nitrogen dioxide exposure, health outcomes, and associated demographic disparities due to gas and propane combustion by U.S. stoves.</t>
    </r>
  </si>
  <si>
    <r>
      <t xml:space="preserve">Y Kashtan, M Nicholson, C Finnegan, Z Ouyang, A Garg, E Lebel, S Rowland, D Michanowicz, J Herrera &amp; R Jackson, </t>
    </r>
    <r>
      <rPr>
        <i/>
        <sz val="10"/>
        <rFont val="Calibri"/>
        <family val="2"/>
      </rPr>
      <t>Science Advances</t>
    </r>
    <r>
      <rPr>
        <sz val="10"/>
        <rFont val="Calibri"/>
        <family val="2"/>
      </rPr>
      <t xml:space="preserve"> </t>
    </r>
    <r>
      <rPr>
        <b/>
        <sz val="10"/>
        <rFont val="Calibri"/>
        <family val="2"/>
      </rPr>
      <t>10</t>
    </r>
    <r>
      <rPr>
        <sz val="10"/>
        <rFont val="Calibri"/>
        <family val="2"/>
      </rPr>
      <t xml:space="preserve"> (18), 3 May 2024.</t>
    </r>
  </si>
  <si>
    <t>https://www.science.org/doi/10.1126/sciadv.adm8680</t>
  </si>
  <si>
    <r>
      <t xml:space="preserve">Khreis </t>
    </r>
    <r>
      <rPr>
        <i/>
        <sz val="10"/>
        <color theme="1"/>
        <rFont val="Calibri"/>
        <family val="2"/>
      </rPr>
      <t>et al</t>
    </r>
    <r>
      <rPr>
        <sz val="10"/>
        <color theme="1"/>
        <rFont val="Calibri"/>
        <family val="2"/>
      </rPr>
      <t xml:space="preserve"> (2017).  Exposure to traffic-related air pollution and risk of development of childhood asthma: A systematic review and meta-analysis.  </t>
    </r>
  </si>
  <si>
    <r>
      <t xml:space="preserve">H Khreis, C Kelly, J Tate, R Parslow, K Lucas &amp; M Nieuwenhuijsen, </t>
    </r>
    <r>
      <rPr>
        <i/>
        <sz val="10"/>
        <color theme="1"/>
        <rFont val="Calibri"/>
        <family val="2"/>
      </rPr>
      <t>Environment International</t>
    </r>
    <r>
      <rPr>
        <b/>
        <i/>
        <sz val="10"/>
        <color theme="1"/>
        <rFont val="Calibri"/>
        <family val="2"/>
      </rPr>
      <t xml:space="preserve"> </t>
    </r>
    <r>
      <rPr>
        <b/>
        <sz val="10"/>
        <color theme="1"/>
        <rFont val="Calibri"/>
        <family val="2"/>
      </rPr>
      <t>100</t>
    </r>
    <r>
      <rPr>
        <sz val="10"/>
        <color theme="1"/>
        <rFont val="Calibri"/>
        <family val="2"/>
      </rPr>
      <t>: 1-31, March 2017.</t>
    </r>
  </si>
  <si>
    <t>https://doi.org/10.1016/j.envint.2016.11.012</t>
  </si>
  <si>
    <r>
      <t xml:space="preserve">Kornatit </t>
    </r>
    <r>
      <rPr>
        <i/>
        <sz val="10"/>
        <color theme="1"/>
        <rFont val="Calibri"/>
        <family val="2"/>
      </rPr>
      <t>et al</t>
    </r>
    <r>
      <rPr>
        <sz val="10"/>
        <color theme="1"/>
        <rFont val="Calibri"/>
        <family val="2"/>
      </rPr>
      <t xml:space="preserve"> (2010).  Activity pattern and personal exposure to nitrogen dioxide in indoor and outdoor microenvironments.</t>
    </r>
  </si>
  <si>
    <r>
      <t xml:space="preserve">C Kornartit, RS Sokh, MA Burton &amp; K Ravindra, </t>
    </r>
    <r>
      <rPr>
        <i/>
        <sz val="10"/>
        <color theme="1"/>
        <rFont val="Calibri"/>
        <family val="2"/>
      </rPr>
      <t>Env Int</t>
    </r>
    <r>
      <rPr>
        <sz val="10"/>
        <color theme="1"/>
        <rFont val="Calibri"/>
        <family val="2"/>
      </rPr>
      <t xml:space="preserve"> </t>
    </r>
    <r>
      <rPr>
        <b/>
        <sz val="10"/>
        <color theme="1"/>
        <rFont val="Calibri"/>
        <family val="2"/>
      </rPr>
      <t>36</t>
    </r>
    <r>
      <rPr>
        <sz val="10"/>
        <color theme="1"/>
        <rFont val="Calibri"/>
        <family val="2"/>
      </rPr>
      <t xml:space="preserve"> (2010): 36–45, January 2010.</t>
    </r>
  </si>
  <si>
    <t>https://doi.org/10.1016/j.envint.2009.09.004</t>
  </si>
  <si>
    <r>
      <t xml:space="preserve">Kuschel </t>
    </r>
    <r>
      <rPr>
        <i/>
        <sz val="10"/>
        <color theme="1"/>
        <rFont val="Calibri"/>
        <family val="2"/>
      </rPr>
      <t xml:space="preserve">et al </t>
    </r>
    <r>
      <rPr>
        <sz val="10"/>
        <color theme="1"/>
        <rFont val="Calibri"/>
        <family val="2"/>
      </rPr>
      <t xml:space="preserve">(2022).  Health and air pollution in New Zealand 2016 (HAPINZ 3.0): Volume 2 – Detailed methodology.  </t>
    </r>
  </si>
  <si>
    <t xml:space="preserve">Report by G Kuschel, J Metcalfe, S Sridhar, P Davy, K Hastings, K Mason, T Denne, J Berentson-Shaw, S Bell, S Hales, J Atkinson &amp; A Woodward </t>
  </si>
  <si>
    <r>
      <t>for Ministry for the Environment, Ministry of Health, Te Manat</t>
    </r>
    <r>
      <rPr>
        <sz val="10"/>
        <color theme="1"/>
        <rFont val="Aptos Narrow"/>
        <family val="2"/>
      </rPr>
      <t>ū</t>
    </r>
    <r>
      <rPr>
        <sz val="10"/>
        <color theme="1"/>
        <rFont val="Calibri"/>
        <family val="2"/>
      </rPr>
      <t xml:space="preserve"> Waka Ministry of Transport &amp; Waka Kotahi NZ Transport Agency, March 2022.</t>
    </r>
  </si>
  <si>
    <t xml:space="preserve">https://environment.govt.nz/publications/health-and-air-pollution-in-new-zealand-2016-detailed-methodology/ </t>
  </si>
  <si>
    <r>
      <t xml:space="preserve">Lin </t>
    </r>
    <r>
      <rPr>
        <i/>
        <sz val="10"/>
        <rFont val="Calibri"/>
        <family val="2"/>
      </rPr>
      <t xml:space="preserve">et al </t>
    </r>
    <r>
      <rPr>
        <sz val="10"/>
        <rFont val="Calibri"/>
        <family val="2"/>
      </rPr>
      <t>(2013).  Meta-analysis of the effects of indoor nitrogen dioxide and gas cooking on asthma and wheeze in children.</t>
    </r>
  </si>
  <si>
    <r>
      <t xml:space="preserve">W Lin, B Brunekreef &amp; U Gehring, </t>
    </r>
    <r>
      <rPr>
        <i/>
        <sz val="10"/>
        <rFont val="Calibri"/>
        <family val="2"/>
      </rPr>
      <t>Int J of Epidemiology</t>
    </r>
    <r>
      <rPr>
        <sz val="10"/>
        <rFont val="Calibri"/>
        <family val="2"/>
      </rPr>
      <t xml:space="preserve"> 2013 </t>
    </r>
    <r>
      <rPr>
        <b/>
        <sz val="10"/>
        <rFont val="Calibri"/>
        <family val="2"/>
      </rPr>
      <t>42</t>
    </r>
    <r>
      <rPr>
        <sz val="10"/>
        <rFont val="Calibri"/>
        <family val="2"/>
      </rPr>
      <t>:1724–1737, 20 August 2013.</t>
    </r>
  </si>
  <si>
    <t>https://doi.org/10.1093/ije/dyt150</t>
  </si>
  <si>
    <r>
      <t xml:space="preserve">Metcalfe </t>
    </r>
    <r>
      <rPr>
        <i/>
        <sz val="10"/>
        <color theme="1"/>
        <rFont val="Calibri"/>
        <family val="2"/>
      </rPr>
      <t>et al</t>
    </r>
    <r>
      <rPr>
        <sz val="10"/>
        <color theme="1"/>
        <rFont val="Calibri"/>
        <family val="2"/>
      </rPr>
      <t xml:space="preserve"> (2018).  </t>
    </r>
    <r>
      <rPr>
        <i/>
        <sz val="10"/>
        <color theme="1"/>
        <rFont val="Calibri"/>
        <family val="2"/>
      </rPr>
      <t>Auckland Air Emissions Inventory 2016: Home Heating.</t>
    </r>
  </si>
  <si>
    <t>Technical report 2018/18 by J Metcalfe, L Wickham &amp; S Sridhar for Auckland Council, July 2018.</t>
  </si>
  <si>
    <t>https://knowledgeauckland.org.nz/media/1091/tr2018-018-auckland-air-emissions-inventory-2016-home-heating.pdf</t>
  </si>
  <si>
    <t xml:space="preserve">Ostro (1987).  Air pollution and morbidity revisited: A specification test. </t>
  </si>
  <si>
    <r>
      <t xml:space="preserve">B Ostro, </t>
    </r>
    <r>
      <rPr>
        <i/>
        <sz val="10"/>
        <color theme="1"/>
        <rFont val="Calibri"/>
        <family val="2"/>
      </rPr>
      <t>J Environ Econ Manage</t>
    </r>
    <r>
      <rPr>
        <sz val="10"/>
        <color theme="1"/>
        <rFont val="Calibri"/>
        <family val="2"/>
      </rPr>
      <t xml:space="preserve"> </t>
    </r>
    <r>
      <rPr>
        <b/>
        <sz val="10"/>
        <color theme="1"/>
        <rFont val="Calibri"/>
        <family val="2"/>
      </rPr>
      <t>14</t>
    </r>
    <r>
      <rPr>
        <sz val="10"/>
        <color theme="1"/>
        <rFont val="Calibri"/>
        <family val="2"/>
      </rPr>
      <t>(1)</t>
    </r>
    <r>
      <rPr>
        <b/>
        <sz val="10"/>
        <color theme="1"/>
        <rFont val="Calibri"/>
        <family val="2"/>
      </rPr>
      <t xml:space="preserve">: </t>
    </r>
    <r>
      <rPr>
        <sz val="10"/>
        <color theme="1"/>
        <rFont val="Calibri"/>
        <family val="2"/>
      </rPr>
      <t>87-98, March 1987.</t>
    </r>
  </si>
  <si>
    <t>https://doi.org/10.1016/0095-0696(87)90008-8</t>
  </si>
  <si>
    <r>
      <t xml:space="preserve">PlusGas (2025).  </t>
    </r>
    <r>
      <rPr>
        <i/>
        <sz val="10"/>
        <color theme="1"/>
        <rFont val="Calibri"/>
        <family val="2"/>
      </rPr>
      <t>Calculating the Total Cost of Having a Gas Bottle</t>
    </r>
    <r>
      <rPr>
        <sz val="10"/>
        <color theme="1"/>
        <rFont val="Calibri"/>
        <family val="2"/>
      </rPr>
      <t>.  PlusGas web page, accessed April 2025.</t>
    </r>
  </si>
  <si>
    <t>https://plusgas.com.au/blog/calculating-the-total-cost-of-having-a-gas-bottle/</t>
  </si>
  <si>
    <r>
      <t xml:space="preserve">Puzzolo </t>
    </r>
    <r>
      <rPr>
        <i/>
        <sz val="10"/>
        <rFont val="Calibri"/>
        <family val="2"/>
      </rPr>
      <t>et al</t>
    </r>
    <r>
      <rPr>
        <sz val="10"/>
        <rFont val="Calibri"/>
        <family val="2"/>
      </rPr>
      <t xml:space="preserve"> (2024).  Estimated health effects from domestic use of gaseous fuels for cooking and heating in high-income, middle-income, and low-income countries: a systematic review and meta-analyses.</t>
    </r>
  </si>
  <si>
    <t>E Puzzolo, N Fleeman,  F Lorenzetti, F Rubinstein,  Y Li,  R Xing, G Shen,  E Nix, M Maden, R Bresnahan, R Duarte,  L Abebe,  J Lewis, KN Williams,  H Adahir-Rohani &amp; D Pope, The Lancet 12 (4):281-293, April 2024</t>
  </si>
  <si>
    <t>https://doi.org/10.1016/S2213-2600(23)00427-7</t>
  </si>
  <si>
    <r>
      <t xml:space="preserve">Rewiring NZ (2025).  The </t>
    </r>
    <r>
      <rPr>
        <i/>
        <sz val="10"/>
        <color theme="1"/>
        <rFont val="Calibri"/>
        <family val="2"/>
      </rPr>
      <t>Machine Count: Building an actionable pathway to an electrified zero-emission energy system for Aotearoa New Zealand.</t>
    </r>
  </si>
  <si>
    <t>Rewiring Aotearoa, April 2025</t>
  </si>
  <si>
    <r>
      <t xml:space="preserve">Salthammer </t>
    </r>
    <r>
      <rPr>
        <i/>
        <sz val="10"/>
        <color theme="1"/>
        <rFont val="Calibri"/>
        <family val="2"/>
      </rPr>
      <t>et al</t>
    </r>
    <r>
      <rPr>
        <sz val="10"/>
        <color theme="1"/>
        <rFont val="Calibri"/>
        <family val="2"/>
      </rPr>
      <t xml:space="preserve"> (2014).  Impact of operating wood-burning fireplace ovens on indoor air quality.</t>
    </r>
  </si>
  <si>
    <r>
      <t xml:space="preserve">T Salthammer, T Schripp, S Wientzek &amp; M Wensing, </t>
    </r>
    <r>
      <rPr>
        <i/>
        <sz val="10"/>
        <color theme="1"/>
        <rFont val="Calibri"/>
        <family val="2"/>
      </rPr>
      <t>Chemosphere</t>
    </r>
    <r>
      <rPr>
        <sz val="10"/>
        <color theme="1"/>
        <rFont val="Calibri"/>
        <family val="2"/>
      </rPr>
      <t xml:space="preserve"> </t>
    </r>
    <r>
      <rPr>
        <b/>
        <sz val="10"/>
        <color theme="1"/>
        <rFont val="Calibri"/>
        <family val="2"/>
      </rPr>
      <t>103</t>
    </r>
    <r>
      <rPr>
        <sz val="10"/>
        <color theme="1"/>
        <rFont val="Calibri"/>
        <family val="2"/>
      </rPr>
      <t>:205-211, May 2014.</t>
    </r>
  </si>
  <si>
    <t>https://doi.org/10.1016/j.chemosphere.2013.11.067</t>
  </si>
  <si>
    <r>
      <t xml:space="preserve">StatsNZ (2021).  </t>
    </r>
    <r>
      <rPr>
        <i/>
        <sz val="10"/>
        <color theme="1"/>
        <rFont val="Calibri"/>
        <family val="2"/>
      </rPr>
      <t>New data shows 1 in 9 children under the age of five lives in a multi-family household.</t>
    </r>
    <r>
      <rPr>
        <sz val="10"/>
        <color theme="1"/>
        <rFont val="Calibri"/>
        <family val="2"/>
      </rPr>
      <t xml:space="preserve">  </t>
    </r>
  </si>
  <si>
    <t>Information release, StatisticsNZ Tatauranga Aotearoa, updated 29 March 2021.</t>
  </si>
  <si>
    <t>https://www.stats.govt.nz/news/new-data-shows-1-in-9-children-under-the-age-of-five-lives-in-a-multi-family-household/</t>
  </si>
  <si>
    <r>
      <t xml:space="preserve">StatsNZ (2025).  </t>
    </r>
    <r>
      <rPr>
        <i/>
        <sz val="10"/>
        <color theme="1"/>
        <rFont val="Calibri"/>
        <family val="2"/>
      </rPr>
      <t>2023 Census of Population and Dwellings.</t>
    </r>
  </si>
  <si>
    <t>Information release, StatisticsNZ Tatauranga Aotearoa, accessed 4 June 2025.</t>
  </si>
  <si>
    <t>https://www.stats.govt.nz/information-releases/2023-census-population-dwelling-and-housing-highlights/</t>
  </si>
  <si>
    <r>
      <t xml:space="preserve">Sun </t>
    </r>
    <r>
      <rPr>
        <i/>
        <sz val="10"/>
        <color theme="1"/>
        <rFont val="Calibri"/>
        <family val="2"/>
      </rPr>
      <t>et al</t>
    </r>
    <r>
      <rPr>
        <sz val="10"/>
        <color theme="1"/>
        <rFont val="Calibri"/>
        <family val="2"/>
      </rPr>
      <t xml:space="preserve"> (2025).  Associations between residential fossil fuel combustion and indoor concentrations of nitrogen dioxide, carbon monoxide, and aldehydes in Canadian homes.</t>
    </r>
  </si>
  <si>
    <r>
      <t xml:space="preserve">L Sun, MÈ Héroux, X Xu, &amp; A Wheeler,  </t>
    </r>
    <r>
      <rPr>
        <i/>
        <sz val="10"/>
        <color theme="1"/>
        <rFont val="Calibri"/>
        <family val="2"/>
      </rPr>
      <t>J Expo Sci Environ Epidemiol</t>
    </r>
    <r>
      <rPr>
        <sz val="10"/>
        <color theme="1"/>
        <rFont val="Calibri"/>
        <family val="2"/>
      </rPr>
      <t xml:space="preserve"> (2025), 14 March 2025. </t>
    </r>
  </si>
  <si>
    <t>https://doi.org/10.1038/s41370-025-00762-6</t>
  </si>
  <si>
    <r>
      <t xml:space="preserve">Treasury (2024).  </t>
    </r>
    <r>
      <rPr>
        <i/>
        <sz val="10"/>
        <color theme="1"/>
        <rFont val="Calibri"/>
        <family val="2"/>
      </rPr>
      <t xml:space="preserve">CBAx Spreadsheet Model. </t>
    </r>
    <r>
      <rPr>
        <sz val="10"/>
        <color theme="1"/>
        <rFont val="Calibri"/>
        <family val="2"/>
      </rPr>
      <t>Excel spreadsheet model, The Treasury, New Zealand, November 2024.</t>
    </r>
  </si>
  <si>
    <t xml:space="preserve">https://www.treasury.govt.nz/publications/guide/cbax-spreadsheet-model </t>
  </si>
  <si>
    <r>
      <t xml:space="preserve">Vicente </t>
    </r>
    <r>
      <rPr>
        <i/>
        <sz val="10"/>
        <color theme="1"/>
        <rFont val="Calibri"/>
        <family val="2"/>
      </rPr>
      <t xml:space="preserve">et al </t>
    </r>
    <r>
      <rPr>
        <sz val="10"/>
        <color theme="1"/>
        <rFont val="Calibri"/>
        <family val="2"/>
      </rPr>
      <t>(2020).  Impact of wood combustion on indoor air quality.</t>
    </r>
  </si>
  <si>
    <r>
      <t xml:space="preserve">ED Vicente, AM Vicente, M Evtyugina, FI Oduber, F Amato, X Querol &amp; C Alves, </t>
    </r>
    <r>
      <rPr>
        <i/>
        <sz val="10"/>
        <color theme="1"/>
        <rFont val="Calibri"/>
        <family val="2"/>
      </rPr>
      <t>Sci Tot Inv</t>
    </r>
    <r>
      <rPr>
        <sz val="10"/>
        <color theme="1"/>
        <rFont val="Calibri"/>
        <family val="2"/>
      </rPr>
      <t xml:space="preserve"> </t>
    </r>
    <r>
      <rPr>
        <b/>
        <sz val="10"/>
        <color theme="1"/>
        <rFont val="Calibri"/>
        <family val="2"/>
      </rPr>
      <t>705:</t>
    </r>
    <r>
      <rPr>
        <sz val="10"/>
        <color theme="1"/>
        <rFont val="Calibri"/>
        <family val="2"/>
      </rPr>
      <t>135769, 25 February 2020.</t>
    </r>
  </si>
  <si>
    <t>https://doi.org/10.1016/j.scitotenv.2019.135769</t>
  </si>
  <si>
    <r>
      <t xml:space="preserve">Wilton </t>
    </r>
    <r>
      <rPr>
        <i/>
        <sz val="10"/>
        <color theme="1"/>
        <rFont val="Calibri"/>
        <family val="2"/>
      </rPr>
      <t>et al</t>
    </r>
    <r>
      <rPr>
        <sz val="10"/>
        <color theme="1"/>
        <rFont val="Calibri"/>
        <family val="2"/>
      </rPr>
      <t xml:space="preserve"> (2015). </t>
    </r>
    <r>
      <rPr>
        <i/>
        <sz val="10"/>
        <color theme="1"/>
        <rFont val="Calibri"/>
        <family val="2"/>
      </rPr>
      <t xml:space="preserve"> Home heating emission inventory and other sources evaluation.</t>
    </r>
  </si>
  <si>
    <t>Report by E Wilton, J Bluett &amp; R Chilton for Ministry for the Environment &amp; StatisticsNZ, 1 January 2015.</t>
  </si>
  <si>
    <t>https://data.mfe.govt.nz/document/11670-home-heating-emission-inventory-and-other-sources-evaluation-2015/</t>
  </si>
  <si>
    <r>
      <t xml:space="preserve">Wyss </t>
    </r>
    <r>
      <rPr>
        <i/>
        <sz val="10"/>
        <color theme="1"/>
        <rFont val="Calibri"/>
        <family val="2"/>
      </rPr>
      <t>et al</t>
    </r>
    <r>
      <rPr>
        <sz val="10"/>
        <color theme="1"/>
        <rFont val="Calibri"/>
        <family val="2"/>
      </rPr>
      <t xml:space="preserve"> (2016).  Particulate Matter 2.5 Exposure and Self-Reported Use of Wood Stoves and Other Indoor Combustion Sources in Urban Nonsmoking Homes in Norway. </t>
    </r>
  </si>
  <si>
    <r>
      <t xml:space="preserve">A Wyss, A Jones, A Kocbach Bølling, G Kissling, R Chartier, H Dahlman, C Rodes, J Archer, J Thornburg, P Schwarzer &amp; S London, </t>
    </r>
    <r>
      <rPr>
        <i/>
        <sz val="10"/>
        <color theme="1"/>
        <rFont val="Calibri"/>
        <family val="2"/>
      </rPr>
      <t>PLOS.One</t>
    </r>
    <r>
      <rPr>
        <sz val="10"/>
        <color theme="1"/>
        <rFont val="Calibri"/>
        <family val="2"/>
      </rPr>
      <t>, 17 November 2016</t>
    </r>
  </si>
  <si>
    <t>http://dx.doi.org/10.1371/journal.pone.0166440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</si>
</sst>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3" formatCode="_-* #,##0.00_-;\-* #,##0.00_-;_-* &quot;-&quot;??_-;_-@_-"/>
    <numFmt numFmtId="164" formatCode="0.000"/>
    <numFmt numFmtId="165" formatCode="0.0"/>
    <numFmt numFmtId="166" formatCode="0.0000"/>
    <numFmt numFmtId="167" formatCode="_-* #,##0_-;\-* #,##0_-;_-* &quot;-&quot;??_-;_-@_-"/>
    <numFmt numFmtId="168" formatCode="0.00000"/>
    <numFmt numFmtId="169" formatCode="0.0%"/>
    <numFmt numFmtId="170" formatCode="_-* #,##0.000_-;\-* #,##0.000_-;_-* &quot;-&quot;??_-;_-@_-"/>
  </numFmts>
  <fonts count="154">
    <font>
      <sz val="11"/>
      <color theme="1"/>
      <name val="Aptos Narrow"/>
      <family val="2"/>
      <scheme val="minor"/>
    </font>
    <font>
      <sz val="11"/>
      <color theme="1"/>
      <name val="Aptos Narrow"/>
      <family val="2"/>
      <scheme val="minor"/>
    </font>
    <font>
      <sz val="11"/>
      <color rgb="FFFF0000"/>
      <name val="Aptos Narrow"/>
      <family val="2"/>
      <scheme val="minor"/>
    </font>
    <font>
      <sz val="10"/>
      <color theme="1"/>
      <name val="Aptos Narrow"/>
      <family val="2"/>
      <scheme val="minor"/>
    </font>
    <font>
      <sz val="9"/>
      <color indexed="81"/>
      <name val="Tahoma"/>
      <family val="2"/>
    </font>
    <font>
      <sz val="10"/>
      <color theme="1"/>
      <name val="Arial"/>
      <family val="2"/>
    </font>
    <font>
      <u/>
      <sz val="11"/>
      <color theme="10"/>
      <name val="Aptos Narrow"/>
      <family val="2"/>
      <scheme val="minor"/>
    </font>
    <font>
      <i/>
      <sz val="11"/>
      <color theme="1"/>
      <name val="Calibri"/>
      <family val="2"/>
    </font>
    <font>
      <b/>
      <sz val="9"/>
      <color indexed="81"/>
      <name val="Tahoma"/>
      <family val="2"/>
    </font>
    <font>
      <sz val="10"/>
      <color theme="1"/>
      <name val="Calibri"/>
      <family val="2"/>
    </font>
    <font>
      <b/>
      <sz val="10"/>
      <color theme="1"/>
      <name val="Calibri"/>
      <family val="2"/>
    </font>
    <font>
      <sz val="10"/>
      <color rgb="FF0070C0"/>
      <name val="Calibri"/>
      <family val="2"/>
    </font>
    <font>
      <b/>
      <sz val="11"/>
      <color theme="1"/>
      <name val="Calibri"/>
      <family val="2"/>
    </font>
    <font>
      <sz val="10"/>
      <name val="Calibri"/>
      <family val="2"/>
    </font>
    <font>
      <sz val="9"/>
      <color theme="1"/>
      <name val="Calibri"/>
      <family val="2"/>
    </font>
    <font>
      <sz val="9"/>
      <color rgb="FFFF0000"/>
      <name val="Calibri"/>
      <family val="2"/>
    </font>
    <font>
      <b/>
      <sz val="9"/>
      <color rgb="FFFF0000"/>
      <name val="Calibri"/>
      <family val="2"/>
    </font>
    <font>
      <i/>
      <sz val="9"/>
      <color rgb="FFFF0000"/>
      <name val="Calibri"/>
      <family val="2"/>
    </font>
    <font>
      <b/>
      <sz val="14"/>
      <color theme="0"/>
      <name val="Calibri"/>
      <family val="2"/>
    </font>
    <font>
      <sz val="11"/>
      <color theme="0"/>
      <name val="Calibri"/>
      <family val="2"/>
    </font>
    <font>
      <sz val="11"/>
      <color theme="1"/>
      <name val="Calibri"/>
      <family val="2"/>
    </font>
    <font>
      <u/>
      <sz val="10"/>
      <color theme="10"/>
      <name val="Calibri"/>
      <family val="2"/>
    </font>
    <font>
      <vertAlign val="subscript"/>
      <sz val="10"/>
      <color theme="1"/>
      <name val="Calibri"/>
      <family val="2"/>
    </font>
    <font>
      <sz val="10"/>
      <color rgb="FFFF0000"/>
      <name val="Calibri"/>
      <family val="2"/>
    </font>
    <font>
      <b/>
      <sz val="14"/>
      <color theme="1"/>
      <name val="Calibri"/>
      <family val="2"/>
    </font>
    <font>
      <b/>
      <sz val="10"/>
      <color rgb="FFFF0000"/>
      <name val="Calibri"/>
      <family val="2"/>
    </font>
    <font>
      <b/>
      <sz val="10"/>
      <color theme="5"/>
      <name val="Calibri"/>
      <family val="2"/>
    </font>
    <font>
      <i/>
      <sz val="8"/>
      <color theme="1" tint="0.499984740745262"/>
      <name val="Calibri"/>
      <family val="2"/>
    </font>
    <font>
      <vertAlign val="superscript"/>
      <sz val="10"/>
      <color theme="1"/>
      <name val="Calibri"/>
      <family val="2"/>
    </font>
    <font>
      <b/>
      <sz val="10"/>
      <color theme="7" tint="-0.249977111117893"/>
      <name val="Calibri"/>
      <family val="2"/>
    </font>
    <font>
      <u/>
      <sz val="11"/>
      <color theme="10"/>
      <name val="Calibri"/>
      <family val="2"/>
    </font>
    <font>
      <i/>
      <sz val="10"/>
      <name val="Calibri"/>
      <family val="2"/>
    </font>
    <font>
      <i/>
      <sz val="10"/>
      <color theme="1"/>
      <name val="Calibri"/>
      <family val="2"/>
    </font>
    <font>
      <u/>
      <sz val="11"/>
      <color theme="0"/>
      <name val="Calibri"/>
      <family val="2"/>
    </font>
    <font>
      <sz val="10"/>
      <color theme="1"/>
      <name val="Aptos Narrow"/>
      <family val="2"/>
    </font>
    <font>
      <b/>
      <sz val="14"/>
      <name val="Calibri"/>
      <family val="2"/>
    </font>
    <font>
      <b/>
      <sz val="11"/>
      <name val="Calibri"/>
      <family val="2"/>
    </font>
    <font>
      <b/>
      <sz val="10"/>
      <name val="Calibri"/>
      <family val="2"/>
    </font>
    <font>
      <b/>
      <sz val="10"/>
      <color theme="0" tint="-0.499984740745262"/>
      <name val="Calibri"/>
      <family val="2"/>
    </font>
    <font>
      <b/>
      <vertAlign val="subscript"/>
      <sz val="10"/>
      <color theme="5"/>
      <name val="Calibri"/>
      <family val="2"/>
    </font>
    <font>
      <b/>
      <vertAlign val="subscript"/>
      <sz val="10"/>
      <color theme="7" tint="-0.249977111117893"/>
      <name val="Calibri"/>
      <family val="2"/>
    </font>
    <font>
      <i/>
      <sz val="10"/>
      <color theme="0" tint="-0.499984740745262"/>
      <name val="Calibri"/>
      <family val="2"/>
    </font>
    <font>
      <i/>
      <sz val="10"/>
      <color theme="1" tint="0.499984740745262"/>
      <name val="Calibri"/>
      <family val="2"/>
    </font>
    <font>
      <b/>
      <i/>
      <sz val="10"/>
      <color theme="1"/>
      <name val="Calibri"/>
      <family val="2"/>
    </font>
    <font>
      <i/>
      <vertAlign val="superscript"/>
      <sz val="10"/>
      <color theme="1"/>
      <name val="Calibri"/>
      <family val="2"/>
    </font>
    <font>
      <i/>
      <sz val="10"/>
      <color rgb="FFFF0000"/>
      <name val="Calibri"/>
      <family val="2"/>
    </font>
    <font>
      <vertAlign val="subscript"/>
      <sz val="10"/>
      <name val="Calibri"/>
      <family val="2"/>
    </font>
    <font>
      <b/>
      <i/>
      <sz val="10"/>
      <name val="Calibri"/>
      <family val="2"/>
    </font>
    <font>
      <b/>
      <sz val="10"/>
      <color rgb="FF00B050"/>
      <name val="Calibri"/>
      <family val="2"/>
    </font>
    <font>
      <b/>
      <sz val="10"/>
      <color rgb="FF0070C0"/>
      <name val="Calibri"/>
      <family val="2"/>
    </font>
    <font>
      <sz val="10"/>
      <color rgb="FF00B050"/>
      <name val="Calibri"/>
      <family val="2"/>
    </font>
    <font>
      <i/>
      <sz val="11"/>
      <color theme="1"/>
      <name val="Aptos Narrow"/>
      <family val="2"/>
      <scheme val="minor"/>
    </font>
    <font>
      <b/>
      <sz val="9"/>
      <color rgb="FF002060"/>
      <name val="Calibri"/>
      <family val="2"/>
    </font>
    <font>
      <sz val="10.5"/>
      <color theme="1"/>
      <name val="Calibri"/>
      <family val="2"/>
    </font>
    <font>
      <sz val="10"/>
      <color rgb="FF000000"/>
      <name val="Calibri"/>
      <family val="2"/>
    </font>
    <font>
      <vertAlign val="superscript"/>
      <sz val="9"/>
      <color theme="1"/>
      <name val="Calibri"/>
      <family val="2"/>
    </font>
    <font>
      <vertAlign val="superscript"/>
      <sz val="10"/>
      <color rgb="FF000000"/>
      <name val="Calibri"/>
      <family val="2"/>
    </font>
    <font>
      <sz val="9"/>
      <color rgb="FF000000"/>
      <name val="Calibri"/>
      <family val="2"/>
    </font>
    <font>
      <sz val="11"/>
      <color rgb="FF000000"/>
      <name val="Calibri"/>
      <family val="2"/>
    </font>
    <font>
      <sz val="11"/>
      <color theme="0"/>
      <name val="Aptos Narrow"/>
      <family val="2"/>
      <scheme val="minor"/>
    </font>
    <font>
      <u/>
      <sz val="11"/>
      <name val="Calibri"/>
      <family val="2"/>
    </font>
    <font>
      <b/>
      <sz val="10"/>
      <color theme="0"/>
      <name val="Calibri"/>
      <family val="2"/>
    </font>
    <font>
      <b/>
      <sz val="12"/>
      <color theme="1"/>
      <name val="Calibri"/>
      <family val="2"/>
    </font>
    <font>
      <b/>
      <sz val="10"/>
      <color rgb="FF000000"/>
      <name val="Calibri"/>
      <family val="2"/>
    </font>
    <font>
      <b/>
      <vertAlign val="subscript"/>
      <sz val="10"/>
      <color rgb="FF000000"/>
      <name val="Calibri"/>
      <family val="2"/>
    </font>
    <font>
      <b/>
      <sz val="10"/>
      <color rgb="FFFFFFFF"/>
      <name val="Calibri"/>
      <family val="2"/>
    </font>
    <font>
      <b/>
      <sz val="9"/>
      <color theme="1"/>
      <name val="Calibri"/>
      <family val="2"/>
    </font>
    <font>
      <b/>
      <sz val="11"/>
      <color theme="1"/>
      <name val="Aptos Narrow"/>
      <family val="2"/>
      <scheme val="minor"/>
    </font>
    <font>
      <sz val="10"/>
      <color theme="5"/>
      <name val="Calibri"/>
      <family val="2"/>
    </font>
    <font>
      <sz val="8"/>
      <color theme="1"/>
      <name val="Calibri"/>
      <family val="2"/>
    </font>
    <font>
      <b/>
      <sz val="8"/>
      <color theme="1"/>
      <name val="Calibri"/>
      <family val="2"/>
    </font>
    <font>
      <b/>
      <vertAlign val="superscript"/>
      <sz val="10"/>
      <color theme="5"/>
      <name val="Calibri"/>
      <family val="2"/>
    </font>
    <font>
      <b/>
      <vertAlign val="superscript"/>
      <sz val="10"/>
      <color theme="7" tint="-0.249977111117893"/>
      <name val="Calibri"/>
      <family val="2"/>
    </font>
    <font>
      <b/>
      <sz val="11"/>
      <color rgb="FFFF0000"/>
      <name val="Calibri"/>
      <family val="2"/>
    </font>
    <font>
      <vertAlign val="subscript"/>
      <sz val="10"/>
      <color theme="5"/>
      <name val="Calibri"/>
      <family val="2"/>
    </font>
    <font>
      <sz val="10"/>
      <color theme="7" tint="-0.249977111117893"/>
      <name val="Calibri"/>
      <family val="2"/>
    </font>
    <font>
      <vertAlign val="subscript"/>
      <sz val="10"/>
      <color theme="7" tint="-0.249977111117893"/>
      <name val="Calibri"/>
      <family val="2"/>
    </font>
    <font>
      <b/>
      <u/>
      <sz val="10"/>
      <color rgb="FFFF0000"/>
      <name val="Calibri"/>
      <family val="2"/>
    </font>
    <font>
      <b/>
      <vertAlign val="subscript"/>
      <sz val="10"/>
      <color rgb="FFFF0000"/>
      <name val="Calibri"/>
      <family val="2"/>
    </font>
    <font>
      <b/>
      <sz val="11"/>
      <color theme="5"/>
      <name val="Calibri"/>
      <family val="2"/>
    </font>
    <font>
      <b/>
      <vertAlign val="subscript"/>
      <sz val="11"/>
      <color theme="5"/>
      <name val="Calibri"/>
      <family val="2"/>
    </font>
    <font>
      <b/>
      <sz val="11"/>
      <color theme="7" tint="-0.249977111117893"/>
      <name val="Calibri"/>
      <family val="2"/>
    </font>
    <font>
      <b/>
      <vertAlign val="subscript"/>
      <sz val="11"/>
      <color theme="7" tint="-0.249977111117893"/>
      <name val="Calibri"/>
      <family val="2"/>
    </font>
    <font>
      <u/>
      <sz val="10"/>
      <name val="Calibri"/>
      <family val="2"/>
    </font>
    <font>
      <sz val="8"/>
      <name val="Calibri"/>
      <family val="2"/>
    </font>
    <font>
      <sz val="10"/>
      <color theme="4"/>
      <name val="Aptos Narrow"/>
      <family val="2"/>
      <scheme val="minor"/>
    </font>
    <font>
      <b/>
      <vertAlign val="subscript"/>
      <sz val="10"/>
      <name val="Calibri"/>
      <family val="2"/>
    </font>
    <font>
      <sz val="9"/>
      <color theme="4"/>
      <name val="Calibri"/>
      <family val="2"/>
    </font>
    <font>
      <sz val="10"/>
      <color theme="1"/>
      <name val="Aptos"/>
      <family val="2"/>
    </font>
    <font>
      <b/>
      <sz val="10"/>
      <color theme="1"/>
      <name val="Aptos"/>
      <family val="2"/>
    </font>
    <font>
      <sz val="11"/>
      <color theme="1"/>
      <name val="Aptos"/>
      <family val="2"/>
    </font>
    <font>
      <b/>
      <sz val="11"/>
      <color theme="1"/>
      <name val="Aptos"/>
      <family val="2"/>
    </font>
    <font>
      <sz val="11"/>
      <color theme="4"/>
      <name val="Aptos"/>
      <family val="2"/>
    </font>
    <font>
      <sz val="11"/>
      <name val="Aptos"/>
      <family val="2"/>
    </font>
    <font>
      <i/>
      <sz val="10"/>
      <name val="Aptos"/>
      <family val="2"/>
    </font>
    <font>
      <sz val="10"/>
      <name val="Aptos"/>
      <family val="2"/>
    </font>
    <font>
      <b/>
      <sz val="11"/>
      <name val="Aptos"/>
      <family val="2"/>
    </font>
    <font>
      <sz val="10"/>
      <color theme="4"/>
      <name val="Aptos"/>
      <family val="2"/>
    </font>
    <font>
      <b/>
      <i/>
      <sz val="10"/>
      <color theme="1"/>
      <name val="Aptos"/>
      <family val="2"/>
    </font>
    <font>
      <b/>
      <sz val="10"/>
      <color theme="0" tint="-0.499984740745262"/>
      <name val="Aptos"/>
      <family val="2"/>
    </font>
    <font>
      <b/>
      <sz val="10"/>
      <color theme="5"/>
      <name val="Aptos"/>
      <family val="2"/>
    </font>
    <font>
      <b/>
      <vertAlign val="subscript"/>
      <sz val="10"/>
      <color theme="5"/>
      <name val="Aptos"/>
      <family val="2"/>
    </font>
    <font>
      <b/>
      <sz val="10"/>
      <color theme="7" tint="-0.249977111117893"/>
      <name val="Aptos"/>
      <family val="2"/>
    </font>
    <font>
      <b/>
      <vertAlign val="subscript"/>
      <sz val="10"/>
      <color theme="7" tint="-0.249977111117893"/>
      <name val="Aptos"/>
      <family val="2"/>
    </font>
    <font>
      <sz val="10"/>
      <color theme="4"/>
      <name val="Calibri"/>
      <family val="2"/>
    </font>
    <font>
      <sz val="11"/>
      <color theme="4"/>
      <name val="Calibri"/>
      <family val="2"/>
    </font>
    <font>
      <sz val="11"/>
      <color rgb="FFFF0000"/>
      <name val="Calibri"/>
      <family val="2"/>
    </font>
    <font>
      <i/>
      <sz val="11"/>
      <name val="Calibri"/>
      <family val="2"/>
    </font>
    <font>
      <sz val="11"/>
      <name val="Calibri"/>
      <family val="2"/>
    </font>
    <font>
      <vertAlign val="subscript"/>
      <sz val="11"/>
      <color theme="1"/>
      <name val="Calibri"/>
      <family val="2"/>
    </font>
    <font>
      <u/>
      <sz val="10"/>
      <color theme="4"/>
      <name val="Calibri"/>
      <family val="2"/>
    </font>
    <font>
      <b/>
      <sz val="12"/>
      <name val="Calibri"/>
      <family val="2"/>
    </font>
    <font>
      <i/>
      <vertAlign val="subscript"/>
      <sz val="11"/>
      <name val="Calibri"/>
      <family val="2"/>
    </font>
    <font>
      <b/>
      <sz val="11"/>
      <color theme="0"/>
      <name val="Calibri"/>
      <family val="2"/>
    </font>
    <font>
      <i/>
      <sz val="8"/>
      <color rgb="FFFF0000"/>
      <name val="Calibri"/>
      <family val="2"/>
    </font>
    <font>
      <b/>
      <sz val="9"/>
      <color theme="4"/>
      <name val="Calibri"/>
      <family val="2"/>
    </font>
    <font>
      <b/>
      <sz val="10"/>
      <color theme="4"/>
      <name val="Calibri"/>
      <family val="2"/>
    </font>
    <font>
      <sz val="11"/>
      <color theme="4"/>
      <name val="Aptos Narrow"/>
      <family val="2"/>
      <scheme val="minor"/>
    </font>
    <font>
      <i/>
      <sz val="10"/>
      <color theme="4"/>
      <name val="Calibri"/>
      <family val="2"/>
    </font>
    <font>
      <sz val="10"/>
      <color theme="0" tint="-0.499984740745262"/>
      <name val="Calibri"/>
      <family val="2"/>
    </font>
    <font>
      <b/>
      <vertAlign val="subscript"/>
      <sz val="10"/>
      <color theme="0" tint="-0.499984740745262"/>
      <name val="Calibri"/>
      <family val="2"/>
    </font>
    <font>
      <vertAlign val="subscript"/>
      <sz val="10"/>
      <color theme="4"/>
      <name val="Calibri"/>
      <family val="2"/>
    </font>
    <font>
      <i/>
      <sz val="9"/>
      <color theme="0" tint="-0.499984740745262"/>
      <name val="Calibri"/>
      <family val="2"/>
    </font>
    <font>
      <b/>
      <sz val="10"/>
      <name val="Aptos"/>
      <family val="2"/>
    </font>
    <font>
      <b/>
      <i/>
      <sz val="10"/>
      <name val="Aptos"/>
      <family val="2"/>
    </font>
    <font>
      <sz val="10"/>
      <color theme="0" tint="-0.34998626667073579"/>
      <name val="Calibri"/>
      <family val="2"/>
    </font>
    <font>
      <sz val="9"/>
      <name val="Calibri"/>
      <family val="2"/>
    </font>
    <font>
      <vertAlign val="subscript"/>
      <sz val="9"/>
      <color theme="1"/>
      <name val="Calibri"/>
      <family val="2"/>
    </font>
    <font>
      <i/>
      <sz val="10"/>
      <color rgb="FF0070C0"/>
      <name val="Calibri"/>
      <family val="2"/>
    </font>
    <font>
      <i/>
      <sz val="10"/>
      <color rgb="FF00B050"/>
      <name val="Calibri"/>
      <family val="2"/>
    </font>
    <font>
      <sz val="10"/>
      <color theme="8"/>
      <name val="Calibri"/>
      <family val="2"/>
    </font>
    <font>
      <i/>
      <sz val="10"/>
      <color theme="8"/>
      <name val="Calibri"/>
      <family val="2"/>
    </font>
    <font>
      <b/>
      <sz val="10"/>
      <color theme="8"/>
      <name val="Calibri"/>
      <family val="2"/>
    </font>
    <font>
      <b/>
      <i/>
      <sz val="10"/>
      <color rgb="FF00B050"/>
      <name val="Calibri"/>
      <family val="2"/>
    </font>
    <font>
      <sz val="9"/>
      <color rgb="FF00B050"/>
      <name val="Calibri"/>
      <family val="2"/>
    </font>
    <font>
      <vertAlign val="superscript"/>
      <sz val="9"/>
      <color rgb="FF00B050"/>
      <name val="Calibri"/>
      <family val="2"/>
    </font>
    <font>
      <vertAlign val="subscript"/>
      <sz val="9"/>
      <color rgb="FF00B050"/>
      <name val="Calibri"/>
      <family val="2"/>
    </font>
    <font>
      <sz val="9"/>
      <color theme="8"/>
      <name val="Calibri"/>
      <family val="2"/>
    </font>
    <font>
      <vertAlign val="superscript"/>
      <sz val="9"/>
      <color theme="8"/>
      <name val="Calibri"/>
      <family val="2"/>
    </font>
    <font>
      <vertAlign val="subscript"/>
      <sz val="9"/>
      <color theme="8"/>
      <name val="Calibri"/>
      <family val="2"/>
    </font>
    <font>
      <sz val="9"/>
      <color rgb="FF0070C0"/>
      <name val="Calibri"/>
      <family val="2"/>
    </font>
    <font>
      <sz val="9"/>
      <color theme="0" tint="-0.499984740745262"/>
      <name val="Calibri"/>
      <family val="2"/>
    </font>
    <font>
      <sz val="9"/>
      <color theme="0" tint="-0.34998626667073579"/>
      <name val="Calibri"/>
      <family val="2"/>
    </font>
    <font>
      <sz val="10"/>
      <color theme="9"/>
      <name val="Calibri"/>
      <family val="2"/>
    </font>
    <font>
      <sz val="10"/>
      <color rgb="FF156082"/>
      <name val="Calibri"/>
      <family val="2"/>
    </font>
    <font>
      <sz val="9"/>
      <color rgb="FF156082"/>
      <name val="Calibri"/>
      <family val="2"/>
    </font>
    <font>
      <i/>
      <sz val="9"/>
      <color rgb="FF000000"/>
      <name val="Calibri"/>
      <family val="2"/>
    </font>
    <font>
      <b/>
      <i/>
      <sz val="10"/>
      <color rgb="FF000000"/>
      <name val="Calibri"/>
      <family val="2"/>
    </font>
    <font>
      <sz val="10"/>
      <color theme="0" tint="-0.499984740745262"/>
      <name val="Calibri Light"/>
      <family val="2"/>
    </font>
    <font>
      <i/>
      <sz val="10"/>
      <color theme="0" tint="-0.499984740745262"/>
      <name val="Calibri Light"/>
      <family val="2"/>
    </font>
    <font>
      <vertAlign val="subscript"/>
      <sz val="10"/>
      <color theme="0" tint="-0.499984740745262"/>
      <name val="Calibri Light"/>
      <family val="2"/>
    </font>
    <font>
      <sz val="11"/>
      <color theme="0" tint="-0.499984740745262"/>
      <name val="Calibri"/>
      <family val="2"/>
    </font>
    <font>
      <vertAlign val="subscript"/>
      <sz val="10"/>
      <color theme="0" tint="-0.499984740745262"/>
      <name val="Calibri"/>
      <family val="2"/>
    </font>
    <font>
      <u/>
      <sz val="10"/>
      <color theme="0" tint="-0.499984740745262"/>
      <name val="Calibri"/>
      <family val="2"/>
    </font>
  </fonts>
  <fills count="27">
    <fill>
      <patternFill patternType="none"/>
    </fill>
    <fill>
      <patternFill patternType="gray125"/>
    </fill>
    <fill>
      <patternFill patternType="solid">
        <fgColor rgb="FFF8F8F8"/>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5"/>
        <bgColor rgb="FFC0C0C0"/>
      </patternFill>
    </fill>
    <fill>
      <patternFill patternType="solid">
        <fgColor theme="5" tint="0.59999389629810485"/>
        <bgColor indexed="64"/>
      </patternFill>
    </fill>
    <fill>
      <patternFill patternType="solid">
        <fgColor theme="0" tint="-0.249977111117893"/>
        <bgColor rgb="FFC0C0C0"/>
      </patternFill>
    </fill>
    <fill>
      <patternFill patternType="solid">
        <fgColor rgb="FF1C556C"/>
        <bgColor indexed="64"/>
      </patternFill>
    </fill>
    <fill>
      <patternFill patternType="solid">
        <fgColor theme="5" tint="0.79998168889431442"/>
        <bgColor indexed="64"/>
      </patternFill>
    </fill>
    <fill>
      <patternFill patternType="solid">
        <fgColor rgb="FFE7E6E6"/>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rgb="FFC0C0C0"/>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57">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2" tint="-0.249977111117893"/>
      </right>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2" tint="-0.249977111117893"/>
      </left>
      <right/>
      <top style="thin">
        <color theme="2" tint="-9.9978637043366805E-2"/>
      </top>
      <bottom/>
      <diagonal/>
    </border>
    <border>
      <left style="thin">
        <color theme="2" tint="-9.9978637043366805E-2"/>
      </left>
      <right style="thin">
        <color theme="0" tint="-0.34998626667073579"/>
      </right>
      <top style="thin">
        <color theme="2" tint="-9.9978637043366805E-2"/>
      </top>
      <bottom/>
      <diagonal/>
    </border>
    <border>
      <left style="thin">
        <color theme="2" tint="-9.9978637043366805E-2"/>
      </left>
      <right style="thin">
        <color theme="0" tint="-0.34998626667073579"/>
      </right>
      <top/>
      <bottom/>
      <diagonal/>
    </border>
    <border>
      <left style="thin">
        <color theme="2" tint="-9.9978637043366805E-2"/>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top style="thin">
        <color rgb="FFD0D7E5"/>
      </top>
      <bottom style="thin">
        <color rgb="FFD0D7E5"/>
      </bottom>
      <diagonal/>
    </border>
    <border>
      <left style="medium">
        <color indexed="64"/>
      </left>
      <right style="medium">
        <color indexed="64"/>
      </right>
      <top style="medium">
        <color indexed="64"/>
      </top>
      <bottom style="thin">
        <color rgb="FFD0D7E5"/>
      </bottom>
      <diagonal/>
    </border>
    <border>
      <left/>
      <right style="thin">
        <color rgb="FFD0D7E5"/>
      </right>
      <top style="thin">
        <color rgb="FFD0D7E5"/>
      </top>
      <bottom style="thin">
        <color rgb="FFD0D7E5"/>
      </bottom>
      <diagonal/>
    </border>
    <border>
      <left style="medium">
        <color indexed="64"/>
      </left>
      <right style="medium">
        <color indexed="64"/>
      </right>
      <top style="thin">
        <color rgb="FFD0D7E5"/>
      </top>
      <bottom style="thin">
        <color rgb="FFD0D7E5"/>
      </bottom>
      <diagonal/>
    </border>
    <border>
      <left style="medium">
        <color indexed="64"/>
      </left>
      <right style="medium">
        <color indexed="64"/>
      </right>
      <top style="thin">
        <color rgb="FFD0D7E5"/>
      </top>
      <bottom style="medium">
        <color indexed="64"/>
      </bottom>
      <diagonal/>
    </border>
    <border>
      <left style="thin">
        <color rgb="FFD0D7E5"/>
      </left>
      <right style="thin">
        <color rgb="FFD0D7E5"/>
      </right>
      <top style="thin">
        <color rgb="FFD0D7E5"/>
      </top>
      <bottom/>
      <diagonal/>
    </border>
    <border>
      <left style="thin">
        <color auto="1"/>
      </left>
      <right style="thin">
        <color auto="1"/>
      </right>
      <top/>
      <bottom/>
      <diagonal/>
    </border>
    <border>
      <left/>
      <right/>
      <top style="thin">
        <color auto="1"/>
      </top>
      <bottom/>
      <diagonal/>
    </border>
    <border>
      <left/>
      <right style="medium">
        <color rgb="FF1C556C"/>
      </right>
      <top style="medium">
        <color rgb="FF1C556C"/>
      </top>
      <bottom/>
      <diagonal/>
    </border>
    <border>
      <left/>
      <right/>
      <top style="medium">
        <color rgb="FF1C556C"/>
      </top>
      <bottom/>
      <diagonal/>
    </border>
    <border>
      <left/>
      <right style="medium">
        <color rgb="FF1C556C"/>
      </right>
      <top/>
      <bottom style="medium">
        <color rgb="FF1C556C"/>
      </bottom>
      <diagonal/>
    </border>
    <border>
      <left/>
      <right/>
      <top/>
      <bottom style="medium">
        <color rgb="FF1C556C"/>
      </bottom>
      <diagonal/>
    </border>
    <border>
      <left style="medium">
        <color rgb="FF1C556C"/>
      </left>
      <right/>
      <top style="medium">
        <color rgb="FF1C556C"/>
      </top>
      <bottom/>
      <diagonal/>
    </border>
    <border>
      <left/>
      <right style="medium">
        <color rgb="FF1C556C"/>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theme="0" tint="-0.34998626667073579"/>
      </right>
      <top/>
      <bottom style="thin">
        <color theme="0" tint="-0.34998626667073579"/>
      </bottom>
      <diagonal/>
    </border>
    <border>
      <left/>
      <right style="thin">
        <color auto="1"/>
      </right>
      <top/>
      <bottom style="thin">
        <color theme="0" tint="-0.34998626667073579"/>
      </bottom>
      <diagonal/>
    </border>
    <border>
      <left style="thin">
        <color theme="0" tint="-0.34998626667073579"/>
      </left>
      <right style="thin">
        <color theme="0" tint="-0.34998626667073579"/>
      </right>
      <top/>
      <bottom style="thin">
        <color auto="1"/>
      </bottom>
      <diagonal/>
    </border>
    <border>
      <left/>
      <right/>
      <top style="medium">
        <color indexed="64"/>
      </top>
      <bottom/>
      <diagonal/>
    </border>
    <border>
      <left/>
      <right/>
      <top/>
      <bottom style="medium">
        <color indexed="64"/>
      </bottom>
      <diagonal/>
    </border>
    <border>
      <left style="thin">
        <color theme="2" tint="-0.249977111117893"/>
      </left>
      <right/>
      <top style="thin">
        <color theme="2" tint="-0.249977111117893"/>
      </top>
      <bottom style="thin">
        <color theme="2" tint="-0.249977111117893"/>
      </bottom>
      <diagonal/>
    </border>
    <border>
      <left style="thin">
        <color theme="0" tint="-0.34998626667073579"/>
      </left>
      <right/>
      <top style="thin">
        <color theme="2" tint="-0.249977111117893"/>
      </top>
      <bottom style="thin">
        <color theme="2" tint="-0.249977111117893"/>
      </bottom>
      <diagonal/>
    </border>
    <border>
      <left style="thin">
        <color theme="0" tint="-0.34998626667073579"/>
      </left>
      <right style="thin">
        <color theme="0" tint="-0.34998626667073579"/>
      </right>
      <top style="thin">
        <color theme="2" tint="-0.249977111117893"/>
      </top>
      <bottom style="thin">
        <color theme="2" tint="-0.249977111117893"/>
      </bottom>
      <diagonal/>
    </border>
    <border>
      <left style="thin">
        <color rgb="FFD0D7E5"/>
      </left>
      <right style="thin">
        <color rgb="FFD0D7E5"/>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1" fillId="0" borderId="0" applyFont="0" applyFill="0" applyBorder="0" applyAlignment="0" applyProtection="0"/>
  </cellStyleXfs>
  <cellXfs count="762">
    <xf numFmtId="0" fontId="0" fillId="0" borderId="0" xfId="0"/>
    <xf numFmtId="0" fontId="3" fillId="0" borderId="0" xfId="0" applyFont="1"/>
    <xf numFmtId="0" fontId="9" fillId="0" borderId="0" xfId="0" applyFont="1"/>
    <xf numFmtId="0" fontId="10" fillId="0" borderId="0" xfId="0" applyFont="1"/>
    <xf numFmtId="0" fontId="9" fillId="0" borderId="0" xfId="2" applyFont="1" applyAlignment="1">
      <alignment vertical="center"/>
    </xf>
    <xf numFmtId="0" fontId="15" fillId="0" borderId="0" xfId="0" applyFont="1" applyAlignment="1">
      <alignment vertical="center"/>
    </xf>
    <xf numFmtId="0" fontId="3" fillId="0" borderId="0" xfId="0" applyFont="1" applyAlignment="1">
      <alignment vertical="top" wrapText="1"/>
    </xf>
    <xf numFmtId="0" fontId="18" fillId="4" borderId="0" xfId="2" applyFont="1" applyFill="1"/>
    <xf numFmtId="0" fontId="19" fillId="4" borderId="0" xfId="0" applyFont="1" applyFill="1"/>
    <xf numFmtId="0" fontId="20" fillId="0" borderId="0" xfId="0" applyFont="1"/>
    <xf numFmtId="0" fontId="9" fillId="0" borderId="0" xfId="0" applyFont="1" applyAlignment="1">
      <alignment horizontal="left" wrapText="1"/>
    </xf>
    <xf numFmtId="0" fontId="9" fillId="0" borderId="0" xfId="0" applyFont="1" applyAlignment="1">
      <alignment horizontal="left"/>
    </xf>
    <xf numFmtId="0" fontId="9" fillId="2" borderId="4" xfId="0" applyFont="1" applyFill="1" applyBorder="1"/>
    <xf numFmtId="0" fontId="10" fillId="2" borderId="1" xfId="0" applyFont="1" applyFill="1" applyBorder="1" applyAlignment="1">
      <alignment horizontal="center"/>
    </xf>
    <xf numFmtId="0" fontId="10" fillId="2" borderId="6" xfId="0" applyFont="1" applyFill="1" applyBorder="1" applyAlignment="1">
      <alignment horizontal="center"/>
    </xf>
    <xf numFmtId="0" fontId="26" fillId="2" borderId="7" xfId="0" applyFont="1" applyFill="1" applyBorder="1" applyAlignment="1">
      <alignment horizontal="left"/>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4" xfId="0" applyFont="1" applyFill="1" applyBorder="1" applyAlignment="1">
      <alignment horizontal="left"/>
    </xf>
    <xf numFmtId="0" fontId="27" fillId="2" borderId="4" xfId="0" applyFont="1" applyFill="1" applyBorder="1" applyAlignment="1">
      <alignment horizontal="right"/>
    </xf>
    <xf numFmtId="0" fontId="20" fillId="2" borderId="9" xfId="0" applyFont="1" applyFill="1" applyBorder="1"/>
    <xf numFmtId="0" fontId="27" fillId="2" borderId="9" xfId="0" applyFont="1" applyFill="1" applyBorder="1"/>
    <xf numFmtId="0" fontId="9" fillId="2" borderId="4" xfId="0" applyFont="1" applyFill="1" applyBorder="1" applyAlignment="1">
      <alignment horizontal="left"/>
    </xf>
    <xf numFmtId="164" fontId="9" fillId="2" borderId="4" xfId="1" applyNumberFormat="1" applyFont="1" applyFill="1" applyBorder="1" applyAlignment="1">
      <alignment horizontal="center"/>
    </xf>
    <xf numFmtId="165" fontId="9" fillId="2" borderId="0" xfId="0" applyNumberFormat="1" applyFont="1" applyFill="1"/>
    <xf numFmtId="0" fontId="10" fillId="2" borderId="4" xfId="0" applyFont="1" applyFill="1" applyBorder="1" applyAlignment="1">
      <alignment horizontal="left" indent="1"/>
    </xf>
    <xf numFmtId="0" fontId="29" fillId="2" borderId="14" xfId="0" applyFont="1" applyFill="1" applyBorder="1" applyAlignment="1">
      <alignment horizontal="left"/>
    </xf>
    <xf numFmtId="165" fontId="9" fillId="2" borderId="8" xfId="1" applyNumberFormat="1" applyFont="1" applyFill="1" applyBorder="1" applyAlignment="1">
      <alignment horizontal="center"/>
    </xf>
    <xf numFmtId="165" fontId="9" fillId="2" borderId="5" xfId="0" applyNumberFormat="1" applyFont="1" applyFill="1" applyBorder="1"/>
    <xf numFmtId="0" fontId="27" fillId="2" borderId="8" xfId="0" applyFont="1" applyFill="1" applyBorder="1"/>
    <xf numFmtId="165" fontId="9" fillId="2" borderId="9" xfId="1" applyNumberFormat="1" applyFont="1" applyFill="1" applyBorder="1"/>
    <xf numFmtId="164" fontId="9" fillId="2" borderId="9" xfId="1" applyNumberFormat="1" applyFont="1" applyFill="1" applyBorder="1" applyAlignment="1">
      <alignment horizontal="center"/>
    </xf>
    <xf numFmtId="164" fontId="13" fillId="2" borderId="9" xfId="0" applyNumberFormat="1" applyFont="1" applyFill="1" applyBorder="1" applyAlignment="1">
      <alignment horizontal="center"/>
    </xf>
    <xf numFmtId="0" fontId="9" fillId="2" borderId="11" xfId="0" applyFont="1" applyFill="1" applyBorder="1" applyAlignment="1">
      <alignment horizontal="left"/>
    </xf>
    <xf numFmtId="164" fontId="9" fillId="2" borderId="12" xfId="1" applyNumberFormat="1" applyFont="1" applyFill="1" applyBorder="1" applyAlignment="1">
      <alignment horizontal="center"/>
    </xf>
    <xf numFmtId="165" fontId="9" fillId="2" borderId="4" xfId="1" applyNumberFormat="1" applyFont="1" applyFill="1" applyBorder="1" applyAlignment="1">
      <alignment horizontal="center"/>
    </xf>
    <xf numFmtId="0" fontId="9" fillId="2" borderId="8" xfId="0" applyFont="1" applyFill="1" applyBorder="1"/>
    <xf numFmtId="0" fontId="13" fillId="2" borderId="4" xfId="0" applyFont="1" applyFill="1" applyBorder="1" applyAlignment="1">
      <alignment horizontal="left"/>
    </xf>
    <xf numFmtId="0" fontId="30" fillId="0" borderId="0" xfId="3" applyFont="1" applyAlignment="1">
      <alignment horizontal="left"/>
    </xf>
    <xf numFmtId="0" fontId="21" fillId="0" borderId="0" xfId="3" applyFont="1" applyAlignment="1">
      <alignment horizontal="right"/>
    </xf>
    <xf numFmtId="0" fontId="12" fillId="6" borderId="0" xfId="0" applyFont="1" applyFill="1" applyAlignment="1">
      <alignment horizontal="left"/>
    </xf>
    <xf numFmtId="0" fontId="12" fillId="0" borderId="0" xfId="0" applyFont="1" applyAlignment="1">
      <alignment horizontal="left"/>
    </xf>
    <xf numFmtId="0" fontId="20" fillId="0" borderId="0" xfId="0" applyFont="1" applyAlignment="1">
      <alignment horizontal="left"/>
    </xf>
    <xf numFmtId="0" fontId="10" fillId="0" borderId="0" xfId="0" applyFont="1" applyAlignment="1">
      <alignment horizontal="left" wrapText="1"/>
    </xf>
    <xf numFmtId="0" fontId="22" fillId="0" borderId="0" xfId="0" applyFont="1" applyAlignment="1">
      <alignment horizontal="left" wrapText="1"/>
    </xf>
    <xf numFmtId="0" fontId="9" fillId="0" borderId="0" xfId="0" applyFont="1" applyAlignment="1">
      <alignment vertical="center" wrapText="1"/>
    </xf>
    <xf numFmtId="0" fontId="9" fillId="0" borderId="0" xfId="0" applyFont="1" applyAlignment="1">
      <alignment horizontal="left" vertical="center" wrapText="1"/>
    </xf>
    <xf numFmtId="0" fontId="12" fillId="6" borderId="0" xfId="0" applyFont="1" applyFill="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2" borderId="11" xfId="0" applyFont="1" applyFill="1" applyBorder="1" applyAlignment="1">
      <alignment horizontal="left"/>
    </xf>
    <xf numFmtId="0" fontId="38" fillId="2" borderId="6" xfId="0" applyFont="1" applyFill="1" applyBorder="1" applyAlignment="1">
      <alignment horizontal="center"/>
    </xf>
    <xf numFmtId="164" fontId="41" fillId="2" borderId="9" xfId="1" applyNumberFormat="1" applyFont="1" applyFill="1" applyBorder="1" applyAlignment="1">
      <alignment horizontal="center"/>
    </xf>
    <xf numFmtId="0" fontId="42" fillId="2" borderId="12" xfId="0" applyFont="1" applyFill="1" applyBorder="1" applyAlignment="1">
      <alignment horizontal="center"/>
    </xf>
    <xf numFmtId="164" fontId="42" fillId="2" borderId="12" xfId="0" applyNumberFormat="1" applyFont="1" applyFill="1" applyBorder="1" applyAlignment="1">
      <alignment horizontal="center"/>
    </xf>
    <xf numFmtId="0" fontId="9" fillId="2" borderId="9" xfId="0" applyFont="1" applyFill="1" applyBorder="1" applyAlignment="1">
      <alignment horizontal="center"/>
    </xf>
    <xf numFmtId="6" fontId="13" fillId="2" borderId="9" xfId="0" applyNumberFormat="1" applyFont="1" applyFill="1" applyBorder="1" applyAlignment="1">
      <alignment horizontal="right"/>
    </xf>
    <xf numFmtId="6" fontId="13" fillId="2" borderId="12" xfId="0" applyNumberFormat="1" applyFont="1" applyFill="1" applyBorder="1" applyAlignment="1">
      <alignment horizontal="right"/>
    </xf>
    <xf numFmtId="6" fontId="13" fillId="2" borderId="7" xfId="0" applyNumberFormat="1" applyFont="1" applyFill="1" applyBorder="1" applyAlignment="1">
      <alignment horizontal="right"/>
    </xf>
    <xf numFmtId="6" fontId="13" fillId="2" borderId="4" xfId="0" applyNumberFormat="1" applyFont="1" applyFill="1" applyBorder="1" applyAlignment="1">
      <alignment horizontal="right"/>
    </xf>
    <xf numFmtId="6" fontId="41" fillId="2" borderId="9" xfId="0" applyNumberFormat="1" applyFont="1" applyFill="1" applyBorder="1" applyAlignment="1">
      <alignment horizontal="right" vertical="center"/>
    </xf>
    <xf numFmtId="0" fontId="41" fillId="2" borderId="9" xfId="0" applyFont="1" applyFill="1" applyBorder="1" applyAlignment="1">
      <alignment horizontal="right" vertical="center"/>
    </xf>
    <xf numFmtId="6" fontId="41" fillId="2" borderId="12" xfId="0" applyNumberFormat="1" applyFont="1" applyFill="1" applyBorder="1" applyAlignment="1">
      <alignment horizontal="right" vertical="center"/>
    </xf>
    <xf numFmtId="0" fontId="41" fillId="2" borderId="8" xfId="0" applyFont="1" applyFill="1" applyBorder="1" applyAlignment="1">
      <alignment horizontal="right" vertical="center"/>
    </xf>
    <xf numFmtId="0" fontId="37" fillId="2" borderId="12" xfId="0" applyFont="1" applyFill="1" applyBorder="1"/>
    <xf numFmtId="0" fontId="43" fillId="2" borderId="8" xfId="0" applyFont="1" applyFill="1" applyBorder="1" applyAlignment="1">
      <alignment horizontal="center"/>
    </xf>
    <xf numFmtId="165" fontId="32" fillId="2" borderId="0" xfId="0" applyNumberFormat="1" applyFont="1" applyFill="1" applyAlignment="1">
      <alignment horizontal="center"/>
    </xf>
    <xf numFmtId="165" fontId="32" fillId="2" borderId="13" xfId="0" applyNumberFormat="1" applyFont="1" applyFill="1" applyBorder="1" applyAlignment="1">
      <alignment horizontal="center"/>
    </xf>
    <xf numFmtId="165" fontId="32" fillId="2" borderId="5" xfId="0" applyNumberFormat="1" applyFont="1" applyFill="1" applyBorder="1" applyAlignment="1">
      <alignment horizontal="center"/>
    </xf>
    <xf numFmtId="0" fontId="7" fillId="2" borderId="9" xfId="0" applyFont="1" applyFill="1" applyBorder="1" applyAlignment="1">
      <alignment horizontal="center"/>
    </xf>
    <xf numFmtId="164" fontId="13" fillId="2" borderId="4" xfId="1" applyNumberFormat="1" applyFont="1" applyFill="1" applyBorder="1" applyAlignment="1">
      <alignment horizontal="center"/>
    </xf>
    <xf numFmtId="165" fontId="13" fillId="2" borderId="4" xfId="1" applyNumberFormat="1" applyFont="1" applyFill="1" applyBorder="1" applyAlignment="1">
      <alignment horizontal="center"/>
    </xf>
    <xf numFmtId="0" fontId="43" fillId="2" borderId="6" xfId="0" applyFont="1" applyFill="1" applyBorder="1" applyAlignment="1">
      <alignment horizontal="center"/>
    </xf>
    <xf numFmtId="165" fontId="9" fillId="2" borderId="9" xfId="0" applyNumberFormat="1" applyFont="1" applyFill="1" applyBorder="1"/>
    <xf numFmtId="165" fontId="32" fillId="2" borderId="9" xfId="0" applyNumberFormat="1" applyFont="1" applyFill="1" applyBorder="1" applyAlignment="1">
      <alignment horizontal="center"/>
    </xf>
    <xf numFmtId="165" fontId="32" fillId="2" borderId="12" xfId="0" applyNumberFormat="1" applyFont="1" applyFill="1" applyBorder="1" applyAlignment="1">
      <alignment horizontal="center"/>
    </xf>
    <xf numFmtId="0" fontId="41" fillId="2" borderId="9" xfId="0" applyFont="1" applyFill="1" applyBorder="1" applyAlignment="1">
      <alignment horizontal="center"/>
    </xf>
    <xf numFmtId="0" fontId="41" fillId="2" borderId="12" xfId="0" applyFont="1" applyFill="1" applyBorder="1" applyAlignment="1">
      <alignment horizontal="center"/>
    </xf>
    <xf numFmtId="1" fontId="13" fillId="2" borderId="4" xfId="1" applyNumberFormat="1" applyFont="1" applyFill="1" applyBorder="1" applyAlignment="1">
      <alignment horizontal="center"/>
    </xf>
    <xf numFmtId="0" fontId="12" fillId="7" borderId="1" xfId="0" applyFont="1" applyFill="1" applyBorder="1"/>
    <xf numFmtId="165" fontId="13" fillId="2" borderId="11" xfId="1" applyNumberFormat="1" applyFont="1" applyFill="1" applyBorder="1" applyAlignment="1">
      <alignment horizontal="center"/>
    </xf>
    <xf numFmtId="0" fontId="43" fillId="2" borderId="1" xfId="0" applyFont="1" applyFill="1" applyBorder="1" applyAlignment="1">
      <alignment horizontal="center"/>
    </xf>
    <xf numFmtId="165" fontId="41" fillId="2" borderId="9" xfId="0" applyNumberFormat="1" applyFont="1" applyFill="1" applyBorder="1" applyAlignment="1">
      <alignment horizontal="center"/>
    </xf>
    <xf numFmtId="165" fontId="41" fillId="2" borderId="12" xfId="0" applyNumberFormat="1" applyFont="1" applyFill="1" applyBorder="1" applyAlignment="1">
      <alignment horizontal="center"/>
    </xf>
    <xf numFmtId="0" fontId="31" fillId="2" borderId="9" xfId="0" applyFont="1" applyFill="1" applyBorder="1"/>
    <xf numFmtId="0" fontId="31" fillId="2" borderId="12" xfId="0" applyFont="1" applyFill="1" applyBorder="1"/>
    <xf numFmtId="0" fontId="13" fillId="2" borderId="9" xfId="0" applyFont="1" applyFill="1" applyBorder="1"/>
    <xf numFmtId="0" fontId="31" fillId="2" borderId="8" xfId="0" applyFont="1" applyFill="1" applyBorder="1"/>
    <xf numFmtId="0" fontId="13" fillId="2" borderId="12" xfId="0" applyFont="1" applyFill="1" applyBorder="1"/>
    <xf numFmtId="0" fontId="14" fillId="0" borderId="0" xfId="0" applyFont="1"/>
    <xf numFmtId="0" fontId="21" fillId="0" borderId="0" xfId="3" applyFont="1"/>
    <xf numFmtId="0" fontId="23" fillId="0" borderId="0" xfId="0" applyFont="1"/>
    <xf numFmtId="0" fontId="21" fillId="0" borderId="0" xfId="3" applyFont="1" applyFill="1"/>
    <xf numFmtId="0" fontId="29" fillId="2" borderId="15" xfId="0" applyFont="1" applyFill="1" applyBorder="1" applyAlignment="1">
      <alignment horizontal="left"/>
    </xf>
    <xf numFmtId="0" fontId="10" fillId="2" borderId="16" xfId="0" applyFont="1" applyFill="1" applyBorder="1" applyAlignment="1">
      <alignment horizontal="left"/>
    </xf>
    <xf numFmtId="0" fontId="9" fillId="2" borderId="16" xfId="0" applyFont="1" applyFill="1" applyBorder="1" applyAlignment="1">
      <alignment horizontal="left"/>
    </xf>
    <xf numFmtId="0" fontId="10" fillId="2" borderId="16" xfId="0" applyFont="1" applyFill="1" applyBorder="1" applyAlignment="1">
      <alignment horizontal="left" indent="1"/>
    </xf>
    <xf numFmtId="0" fontId="9" fillId="2" borderId="17" xfId="0" applyFont="1" applyFill="1" applyBorder="1" applyAlignment="1">
      <alignment horizontal="left"/>
    </xf>
    <xf numFmtId="6" fontId="13" fillId="0" borderId="0" xfId="0" applyNumberFormat="1" applyFont="1" applyAlignment="1">
      <alignment horizontal="right"/>
    </xf>
    <xf numFmtId="165" fontId="32" fillId="0" borderId="0" xfId="0" applyNumberFormat="1" applyFont="1" applyAlignment="1">
      <alignment horizontal="center"/>
    </xf>
    <xf numFmtId="6" fontId="41" fillId="0" borderId="0" xfId="0" applyNumberFormat="1" applyFont="1" applyAlignment="1">
      <alignment horizontal="right" vertical="center"/>
    </xf>
    <xf numFmtId="0" fontId="2" fillId="0" borderId="0" xfId="0" applyFont="1"/>
    <xf numFmtId="0" fontId="9" fillId="0" borderId="0" xfId="0" applyFont="1" applyAlignment="1">
      <alignment horizontal="right"/>
    </xf>
    <xf numFmtId="2" fontId="9" fillId="0" borderId="0" xfId="0" applyNumberFormat="1" applyFont="1" applyAlignment="1">
      <alignment horizontal="right"/>
    </xf>
    <xf numFmtId="166" fontId="48" fillId="0" borderId="0" xfId="0" applyNumberFormat="1" applyFont="1"/>
    <xf numFmtId="166" fontId="49" fillId="0" borderId="0" xfId="0" applyNumberFormat="1" applyFont="1"/>
    <xf numFmtId="164" fontId="23" fillId="0" borderId="0" xfId="0" applyNumberFormat="1" applyFont="1" applyAlignment="1">
      <alignment horizontal="right" vertical="center" readingOrder="1"/>
    </xf>
    <xf numFmtId="164" fontId="50" fillId="0" borderId="0" xfId="0" applyNumberFormat="1" applyFont="1"/>
    <xf numFmtId="164" fontId="11" fillId="0" borderId="0" xfId="0" applyNumberFormat="1" applyFont="1"/>
    <xf numFmtId="0" fontId="6" fillId="0" borderId="0" xfId="3"/>
    <xf numFmtId="0" fontId="51" fillId="0" borderId="0" xfId="0" applyFont="1" applyAlignment="1">
      <alignment vertical="center"/>
    </xf>
    <xf numFmtId="0" fontId="0" fillId="0" borderId="0" xfId="0" applyAlignment="1">
      <alignment horizontal="left" vertical="center" indent="1"/>
    </xf>
    <xf numFmtId="0" fontId="6" fillId="0" borderId="0" xfId="3" applyAlignment="1">
      <alignment vertical="center"/>
    </xf>
    <xf numFmtId="1" fontId="13" fillId="2" borderId="11" xfId="1" applyNumberFormat="1" applyFont="1" applyFill="1" applyBorder="1" applyAlignment="1">
      <alignment horizontal="center"/>
    </xf>
    <xf numFmtId="0" fontId="13" fillId="0" borderId="0" xfId="0" applyFont="1" applyAlignment="1">
      <alignment horizontal="left"/>
    </xf>
    <xf numFmtId="164" fontId="13" fillId="0" borderId="0" xfId="1" applyNumberFormat="1" applyFont="1" applyFill="1" applyBorder="1" applyAlignment="1">
      <alignment horizontal="center"/>
    </xf>
    <xf numFmtId="164" fontId="13" fillId="2" borderId="12" xfId="0" applyNumberFormat="1" applyFont="1" applyFill="1" applyBorder="1" applyAlignment="1">
      <alignment horizontal="center"/>
    </xf>
    <xf numFmtId="165" fontId="32" fillId="0" borderId="0" xfId="0" applyNumberFormat="1" applyFont="1" applyAlignment="1">
      <alignment horizontal="left"/>
    </xf>
    <xf numFmtId="0" fontId="41" fillId="0" borderId="0" xfId="0" applyFont="1" applyAlignment="1">
      <alignment horizontal="center"/>
    </xf>
    <xf numFmtId="164" fontId="41" fillId="2" borderId="9" xfId="0" applyNumberFormat="1" applyFont="1" applyFill="1" applyBorder="1" applyAlignment="1">
      <alignment horizontal="center"/>
    </xf>
    <xf numFmtId="2" fontId="41" fillId="2" borderId="9" xfId="0" applyNumberFormat="1" applyFont="1" applyFill="1" applyBorder="1" applyAlignment="1">
      <alignment horizontal="center"/>
    </xf>
    <xf numFmtId="2" fontId="13" fillId="2" borderId="4" xfId="1" applyNumberFormat="1" applyFont="1" applyFill="1" applyBorder="1" applyAlignment="1">
      <alignment horizontal="center"/>
    </xf>
    <xf numFmtId="1" fontId="13" fillId="2" borderId="12" xfId="1" applyNumberFormat="1" applyFont="1" applyFill="1" applyBorder="1" applyAlignment="1">
      <alignment horizontal="center"/>
    </xf>
    <xf numFmtId="2" fontId="13" fillId="2" borderId="11" xfId="1" applyNumberFormat="1" applyFont="1" applyFill="1" applyBorder="1" applyAlignment="1">
      <alignment horizontal="center"/>
    </xf>
    <xf numFmtId="164" fontId="13" fillId="2" borderId="11" xfId="1" applyNumberFormat="1" applyFont="1" applyFill="1" applyBorder="1" applyAlignment="1">
      <alignment horizontal="center"/>
    </xf>
    <xf numFmtId="2" fontId="13" fillId="2" borderId="9" xfId="0" applyNumberFormat="1" applyFont="1" applyFill="1" applyBorder="1" applyAlignment="1">
      <alignment horizontal="center"/>
    </xf>
    <xf numFmtId="2" fontId="13" fillId="2" borderId="12" xfId="0" applyNumberFormat="1" applyFont="1" applyFill="1" applyBorder="1" applyAlignment="1">
      <alignment horizontal="center"/>
    </xf>
    <xf numFmtId="164" fontId="47" fillId="2" borderId="4" xfId="1" applyNumberFormat="1" applyFont="1" applyFill="1" applyBorder="1" applyAlignment="1">
      <alignment horizontal="center"/>
    </xf>
    <xf numFmtId="2" fontId="32" fillId="2" borderId="9" xfId="0" applyNumberFormat="1" applyFont="1" applyFill="1" applyBorder="1" applyAlignment="1">
      <alignment horizontal="center"/>
    </xf>
    <xf numFmtId="2" fontId="32" fillId="2" borderId="12" xfId="0" applyNumberFormat="1" applyFont="1" applyFill="1" applyBorder="1" applyAlignment="1">
      <alignment horizontal="center"/>
    </xf>
    <xf numFmtId="165" fontId="13" fillId="2" borderId="9" xfId="0" applyNumberFormat="1" applyFont="1" applyFill="1" applyBorder="1" applyAlignment="1">
      <alignment horizontal="center"/>
    </xf>
    <xf numFmtId="165" fontId="13" fillId="2" borderId="12" xfId="0" applyNumberFormat="1" applyFont="1" applyFill="1" applyBorder="1" applyAlignment="1">
      <alignment horizontal="center"/>
    </xf>
    <xf numFmtId="0" fontId="13" fillId="0" borderId="9" xfId="0" applyFont="1" applyBorder="1"/>
    <xf numFmtId="15" fontId="0" fillId="0" borderId="0" xfId="0" applyNumberFormat="1"/>
    <xf numFmtId="0" fontId="52" fillId="0" borderId="0" xfId="0" applyFont="1" applyAlignment="1">
      <alignment vertical="center"/>
    </xf>
    <xf numFmtId="6" fontId="54" fillId="0" borderId="24" xfId="0" applyNumberFormat="1" applyFont="1" applyBorder="1" applyAlignment="1">
      <alignment horizontal="right" vertical="center"/>
    </xf>
    <xf numFmtId="0" fontId="9" fillId="0" borderId="24" xfId="0" applyFont="1" applyBorder="1" applyAlignment="1">
      <alignment horizontal="center" vertical="center"/>
    </xf>
    <xf numFmtId="6" fontId="9" fillId="0" borderId="24" xfId="0" applyNumberFormat="1" applyFont="1" applyBorder="1" applyAlignment="1">
      <alignment horizontal="right" vertical="center"/>
    </xf>
    <xf numFmtId="6" fontId="9" fillId="0" borderId="24" xfId="0" applyNumberFormat="1" applyFont="1" applyBorder="1" applyAlignment="1">
      <alignment horizontal="right" vertical="center" wrapText="1"/>
    </xf>
    <xf numFmtId="0" fontId="55" fillId="0" borderId="0" xfId="0" applyFont="1" applyAlignment="1">
      <alignment vertical="center"/>
    </xf>
    <xf numFmtId="0" fontId="53" fillId="0" borderId="0" xfId="0" applyFont="1" applyAlignment="1">
      <alignment vertical="center"/>
    </xf>
    <xf numFmtId="0" fontId="45" fillId="2" borderId="9" xfId="0" applyFont="1" applyFill="1" applyBorder="1" applyAlignment="1">
      <alignment horizontal="right" vertical="center"/>
    </xf>
    <xf numFmtId="0" fontId="54" fillId="0" borderId="21" xfId="0" applyFont="1" applyBorder="1" applyAlignment="1">
      <alignment vertical="center"/>
    </xf>
    <xf numFmtId="0" fontId="54" fillId="0" borderId="22" xfId="0" applyFont="1" applyBorder="1" applyAlignment="1">
      <alignment vertical="center"/>
    </xf>
    <xf numFmtId="0" fontId="54" fillId="0" borderId="22" xfId="0" applyFont="1" applyBorder="1" applyAlignment="1">
      <alignment horizontal="right" vertical="center"/>
    </xf>
    <xf numFmtId="0" fontId="54" fillId="0" borderId="22" xfId="0" applyFont="1" applyBorder="1" applyAlignment="1">
      <alignment horizontal="center" vertical="center"/>
    </xf>
    <xf numFmtId="0" fontId="54" fillId="0" borderId="22" xfId="0" applyFont="1" applyBorder="1" applyAlignment="1">
      <alignment horizontal="right" vertical="center" wrapText="1"/>
    </xf>
    <xf numFmtId="0" fontId="54" fillId="0" borderId="23" xfId="0" applyFont="1" applyBorder="1" applyAlignment="1">
      <alignment vertical="center"/>
    </xf>
    <xf numFmtId="6" fontId="54" fillId="0" borderId="24" xfId="0" applyNumberFormat="1" applyFont="1" applyBorder="1" applyAlignment="1">
      <alignment horizontal="right" vertical="center" wrapText="1"/>
    </xf>
    <xf numFmtId="0" fontId="57" fillId="0" borderId="22" xfId="0" applyFont="1" applyBorder="1" applyAlignment="1">
      <alignment horizontal="right" vertical="center"/>
    </xf>
    <xf numFmtId="0" fontId="57" fillId="0" borderId="24" xfId="0" applyFont="1" applyBorder="1" applyAlignment="1">
      <alignment vertical="center"/>
    </xf>
    <xf numFmtId="0" fontId="13" fillId="0" borderId="0" xfId="0" applyFont="1"/>
    <xf numFmtId="2" fontId="13" fillId="0" borderId="0" xfId="1" applyNumberFormat="1" applyFont="1" applyFill="1" applyBorder="1" applyAlignment="1">
      <alignment horizontal="center"/>
    </xf>
    <xf numFmtId="0" fontId="33" fillId="12" borderId="0" xfId="3" applyFont="1" applyFill="1" applyAlignment="1">
      <alignment vertical="center"/>
    </xf>
    <xf numFmtId="0" fontId="54" fillId="0" borderId="26" xfId="0" applyFont="1" applyBorder="1" applyAlignment="1">
      <alignment vertical="center" wrapText="1"/>
    </xf>
    <xf numFmtId="0" fontId="58" fillId="0" borderId="0" xfId="0" applyFont="1" applyAlignment="1">
      <alignment horizontal="right" vertical="center" wrapText="1"/>
    </xf>
    <xf numFmtId="0" fontId="58" fillId="0" borderId="0" xfId="0" applyFont="1" applyAlignment="1">
      <alignment vertical="center" wrapText="1"/>
    </xf>
    <xf numFmtId="2" fontId="58" fillId="0" borderId="0" xfId="0" applyNumberFormat="1" applyFont="1" applyAlignment="1">
      <alignment horizontal="right" vertical="center" wrapText="1"/>
    </xf>
    <xf numFmtId="3" fontId="58" fillId="0" borderId="0" xfId="0" applyNumberFormat="1" applyFont="1" applyAlignment="1">
      <alignment horizontal="right" vertical="center" wrapText="1"/>
    </xf>
    <xf numFmtId="0" fontId="60" fillId="8" borderId="0" xfId="3" applyFont="1" applyFill="1" applyAlignment="1">
      <alignment vertical="center"/>
    </xf>
    <xf numFmtId="0" fontId="18" fillId="12" borderId="0" xfId="2" applyFont="1" applyFill="1"/>
    <xf numFmtId="0" fontId="59" fillId="12" borderId="0" xfId="0" applyFont="1" applyFill="1"/>
    <xf numFmtId="0" fontId="35" fillId="8" borderId="0" xfId="3" applyFont="1" applyFill="1" applyAlignment="1">
      <alignment vertical="center"/>
    </xf>
    <xf numFmtId="0" fontId="35" fillId="9" borderId="0" xfId="2" applyFont="1" applyFill="1"/>
    <xf numFmtId="0" fontId="20" fillId="9" borderId="0" xfId="0" applyFont="1" applyFill="1"/>
    <xf numFmtId="0" fontId="35" fillId="10" borderId="0" xfId="0" applyFont="1" applyFill="1" applyAlignment="1">
      <alignment vertical="center"/>
    </xf>
    <xf numFmtId="0" fontId="0" fillId="10" borderId="0" xfId="0" applyFill="1"/>
    <xf numFmtId="0" fontId="35" fillId="11" borderId="0" xfId="0" applyFont="1" applyFill="1" applyAlignment="1">
      <alignment vertical="center"/>
    </xf>
    <xf numFmtId="0" fontId="35" fillId="13" borderId="0" xfId="3" applyFont="1" applyFill="1" applyAlignment="1">
      <alignment vertical="center"/>
    </xf>
    <xf numFmtId="0" fontId="62" fillId="0" borderId="0" xfId="0" applyFont="1"/>
    <xf numFmtId="0" fontId="20" fillId="13" borderId="0" xfId="0" applyFont="1" applyFill="1"/>
    <xf numFmtId="165" fontId="20" fillId="0" borderId="0" xfId="0" applyNumberFormat="1" applyFont="1"/>
    <xf numFmtId="164" fontId="20" fillId="0" borderId="0" xfId="0" applyNumberFormat="1" applyFont="1" applyAlignment="1">
      <alignment horizontal="right"/>
    </xf>
    <xf numFmtId="0" fontId="20" fillId="16" borderId="0" xfId="0" applyFont="1" applyFill="1"/>
    <xf numFmtId="0" fontId="15" fillId="0" borderId="0" xfId="0" applyFont="1"/>
    <xf numFmtId="0" fontId="54" fillId="0" borderId="26" xfId="0" applyFont="1" applyBorder="1" applyAlignment="1">
      <alignment horizontal="right" vertical="center" wrapText="1"/>
    </xf>
    <xf numFmtId="2" fontId="54" fillId="0" borderId="26" xfId="0" applyNumberFormat="1" applyFont="1" applyBorder="1" applyAlignment="1">
      <alignment horizontal="right" vertical="center" wrapText="1"/>
    </xf>
    <xf numFmtId="0" fontId="9" fillId="0" borderId="0" xfId="0" applyFont="1" applyAlignment="1">
      <alignment horizontal="center"/>
    </xf>
    <xf numFmtId="0" fontId="10" fillId="0" borderId="0" xfId="0" applyFont="1" applyAlignment="1">
      <alignment horizontal="center"/>
    </xf>
    <xf numFmtId="0" fontId="63" fillId="15" borderId="33" xfId="0" applyFont="1" applyFill="1" applyBorder="1" applyAlignment="1">
      <alignment horizontal="center" vertical="center"/>
    </xf>
    <xf numFmtId="0" fontId="63" fillId="15" borderId="33" xfId="0" applyFont="1" applyFill="1" applyBorder="1" applyAlignment="1">
      <alignment horizontal="right" vertical="center"/>
    </xf>
    <xf numFmtId="0" fontId="9" fillId="16" borderId="0" xfId="0" applyFont="1" applyFill="1"/>
    <xf numFmtId="10" fontId="54" fillId="0" borderId="26" xfId="0" applyNumberFormat="1" applyFont="1" applyBorder="1" applyAlignment="1">
      <alignment horizontal="left" vertical="center" wrapText="1"/>
    </xf>
    <xf numFmtId="10" fontId="54" fillId="0" borderId="26" xfId="0" applyNumberFormat="1" applyFont="1" applyBorder="1" applyAlignment="1">
      <alignment horizontal="right" vertical="center" wrapText="1"/>
    </xf>
    <xf numFmtId="0" fontId="24" fillId="0" borderId="0" xfId="0" applyFont="1"/>
    <xf numFmtId="167" fontId="9" fillId="16" borderId="0" xfId="4" applyNumberFormat="1" applyFont="1" applyFill="1"/>
    <xf numFmtId="17" fontId="9" fillId="0" borderId="0" xfId="0" applyNumberFormat="1" applyFont="1"/>
    <xf numFmtId="0" fontId="35" fillId="16" borderId="0" xfId="3" applyFont="1" applyFill="1" applyAlignment="1">
      <alignment vertical="center"/>
    </xf>
    <xf numFmtId="6" fontId="9" fillId="0" borderId="37" xfId="0" applyNumberFormat="1" applyFont="1" applyBorder="1" applyAlignment="1">
      <alignment horizontal="center" vertical="center"/>
    </xf>
    <xf numFmtId="6" fontId="9" fillId="0" borderId="38" xfId="0" applyNumberFormat="1" applyFont="1" applyBorder="1" applyAlignment="1">
      <alignment horizontal="center" vertical="center" wrapText="1"/>
    </xf>
    <xf numFmtId="8" fontId="9" fillId="0" borderId="37" xfId="0" applyNumberFormat="1" applyFont="1" applyBorder="1" applyAlignment="1">
      <alignment horizontal="center" vertical="center"/>
    </xf>
    <xf numFmtId="8" fontId="9" fillId="0" borderId="38" xfId="0" applyNumberFormat="1" applyFont="1" applyBorder="1" applyAlignment="1">
      <alignment horizontal="center" vertical="center" wrapText="1"/>
    </xf>
    <xf numFmtId="0" fontId="21" fillId="0" borderId="0" xfId="3" applyFont="1" applyAlignment="1">
      <alignment horizontal="left"/>
    </xf>
    <xf numFmtId="0" fontId="65" fillId="18" borderId="37" xfId="0" applyFont="1" applyFill="1" applyBorder="1" applyAlignment="1">
      <alignment horizontal="center" vertical="center"/>
    </xf>
    <xf numFmtId="0" fontId="65" fillId="18" borderId="38" xfId="0" applyFont="1" applyFill="1" applyBorder="1" applyAlignment="1">
      <alignment horizontal="center" vertical="center" wrapText="1"/>
    </xf>
    <xf numFmtId="0" fontId="13" fillId="0" borderId="37" xfId="0" applyFont="1" applyBorder="1" applyAlignment="1">
      <alignment horizontal="left" vertical="center"/>
    </xf>
    <xf numFmtId="165" fontId="9" fillId="0" borderId="0" xfId="0" applyNumberFormat="1" applyFont="1"/>
    <xf numFmtId="0" fontId="17" fillId="0" borderId="0" xfId="0" applyFont="1"/>
    <xf numFmtId="0" fontId="37" fillId="16" borderId="37" xfId="0" applyFont="1" applyFill="1" applyBorder="1" applyAlignment="1">
      <alignment horizontal="center" vertical="center"/>
    </xf>
    <xf numFmtId="0" fontId="37" fillId="16" borderId="38" xfId="0" applyFont="1" applyFill="1" applyBorder="1" applyAlignment="1">
      <alignment horizontal="center" vertical="center" wrapText="1"/>
    </xf>
    <xf numFmtId="0" fontId="10" fillId="9" borderId="1" xfId="0" applyFont="1" applyFill="1" applyBorder="1" applyAlignment="1">
      <alignment horizontal="center"/>
    </xf>
    <xf numFmtId="6" fontId="13" fillId="2" borderId="9" xfId="0" applyNumberFormat="1" applyFont="1" applyFill="1" applyBorder="1" applyAlignment="1">
      <alignment horizontal="center"/>
    </xf>
    <xf numFmtId="0" fontId="13" fillId="2" borderId="12" xfId="0" applyFont="1" applyFill="1" applyBorder="1" applyAlignment="1">
      <alignment horizontal="left"/>
    </xf>
    <xf numFmtId="165" fontId="13" fillId="2" borderId="9" xfId="0" applyNumberFormat="1" applyFont="1" applyFill="1" applyBorder="1" applyAlignment="1">
      <alignment horizontal="left"/>
    </xf>
    <xf numFmtId="167" fontId="9" fillId="2" borderId="4" xfId="4" applyNumberFormat="1" applyFont="1" applyFill="1" applyBorder="1" applyAlignment="1">
      <alignment horizontal="center"/>
    </xf>
    <xf numFmtId="0" fontId="61" fillId="0" borderId="0" xfId="0" applyFont="1"/>
    <xf numFmtId="0" fontId="38" fillId="0" borderId="0" xfId="0" applyFont="1" applyAlignment="1">
      <alignment horizontal="center"/>
    </xf>
    <xf numFmtId="0" fontId="37" fillId="0" borderId="0" xfId="0" applyFont="1"/>
    <xf numFmtId="164" fontId="41" fillId="0" borderId="0" xfId="1" applyNumberFormat="1" applyFont="1" applyFill="1" applyBorder="1" applyAlignment="1">
      <alignment horizontal="center"/>
    </xf>
    <xf numFmtId="0" fontId="27" fillId="0" borderId="0" xfId="0" applyFont="1"/>
    <xf numFmtId="0" fontId="42" fillId="0" borderId="0" xfId="0" applyFont="1" applyAlignment="1">
      <alignment horizontal="center"/>
    </xf>
    <xf numFmtId="167" fontId="9" fillId="2" borderId="4" xfId="4" applyNumberFormat="1" applyFont="1" applyFill="1" applyBorder="1" applyAlignment="1">
      <alignment horizontal="right"/>
    </xf>
    <xf numFmtId="167" fontId="9" fillId="2" borderId="12" xfId="4" applyNumberFormat="1" applyFont="1" applyFill="1" applyBorder="1" applyAlignment="1">
      <alignment horizontal="right"/>
    </xf>
    <xf numFmtId="0" fontId="37" fillId="2" borderId="11" xfId="0" applyFont="1" applyFill="1" applyBorder="1"/>
    <xf numFmtId="0" fontId="27" fillId="2" borderId="7" xfId="0" applyFont="1" applyFill="1" applyBorder="1"/>
    <xf numFmtId="0" fontId="13" fillId="2" borderId="4" xfId="0" applyFont="1" applyFill="1" applyBorder="1"/>
    <xf numFmtId="0" fontId="13" fillId="0" borderId="0" xfId="2" applyFont="1" applyAlignment="1">
      <alignment vertical="center"/>
    </xf>
    <xf numFmtId="167" fontId="9" fillId="2" borderId="12" xfId="4" applyNumberFormat="1" applyFont="1" applyFill="1" applyBorder="1" applyAlignment="1">
      <alignment horizontal="center"/>
    </xf>
    <xf numFmtId="0" fontId="10" fillId="2" borderId="4" xfId="0" applyFont="1" applyFill="1" applyBorder="1" applyAlignment="1">
      <alignment horizontal="right"/>
    </xf>
    <xf numFmtId="0" fontId="10" fillId="2" borderId="1" xfId="0" applyFont="1" applyFill="1" applyBorder="1" applyAlignment="1">
      <alignment horizontal="right"/>
    </xf>
    <xf numFmtId="0" fontId="67" fillId="0" borderId="0" xfId="0" applyFont="1"/>
    <xf numFmtId="0" fontId="12" fillId="7" borderId="0" xfId="0" applyFont="1" applyFill="1"/>
    <xf numFmtId="164" fontId="9" fillId="2" borderId="11" xfId="1" applyNumberFormat="1" applyFont="1" applyFill="1" applyBorder="1" applyAlignment="1">
      <alignment horizontal="center"/>
    </xf>
    <xf numFmtId="0" fontId="10" fillId="2" borderId="0" xfId="0" applyFont="1" applyFill="1" applyAlignment="1">
      <alignment horizontal="center"/>
    </xf>
    <xf numFmtId="0" fontId="27" fillId="2" borderId="0" xfId="0" applyFont="1" applyFill="1" applyAlignment="1">
      <alignment horizontal="right"/>
    </xf>
    <xf numFmtId="0" fontId="10" fillId="2" borderId="9" xfId="0" applyFont="1" applyFill="1" applyBorder="1" applyAlignment="1">
      <alignment horizontal="center"/>
    </xf>
    <xf numFmtId="0" fontId="27" fillId="2" borderId="9" xfId="0" applyFont="1" applyFill="1" applyBorder="1" applyAlignment="1">
      <alignment horizontal="right"/>
    </xf>
    <xf numFmtId="0" fontId="29" fillId="2" borderId="9" xfId="0" applyFont="1" applyFill="1" applyBorder="1" applyAlignment="1">
      <alignment horizontal="center"/>
    </xf>
    <xf numFmtId="0" fontId="9" fillId="2" borderId="12" xfId="0" applyFont="1" applyFill="1" applyBorder="1" applyAlignment="1">
      <alignment horizontal="center"/>
    </xf>
    <xf numFmtId="0" fontId="62" fillId="11" borderId="0" xfId="0" applyFont="1" applyFill="1"/>
    <xf numFmtId="0" fontId="0" fillId="11" borderId="0" xfId="0" applyFill="1"/>
    <xf numFmtId="167" fontId="9" fillId="2" borderId="0" xfId="4" applyNumberFormat="1" applyFont="1" applyFill="1" applyBorder="1" applyAlignment="1"/>
    <xf numFmtId="167" fontId="10" fillId="2" borderId="0" xfId="4" applyNumberFormat="1" applyFont="1" applyFill="1" applyBorder="1" applyAlignment="1"/>
    <xf numFmtId="167" fontId="29" fillId="2" borderId="0" xfId="4" applyNumberFormat="1" applyFont="1" applyFill="1" applyBorder="1" applyAlignment="1"/>
    <xf numFmtId="167" fontId="69" fillId="0" borderId="0" xfId="4" applyNumberFormat="1" applyFont="1" applyFill="1" applyBorder="1" applyAlignment="1">
      <alignment horizontal="right"/>
    </xf>
    <xf numFmtId="0" fontId="70" fillId="0" borderId="0" xfId="0" applyFont="1" applyAlignment="1">
      <alignment horizontal="right"/>
    </xf>
    <xf numFmtId="167" fontId="9" fillId="2" borderId="9" xfId="4" applyNumberFormat="1" applyFont="1" applyFill="1" applyBorder="1" applyAlignment="1">
      <alignment horizontal="center"/>
    </xf>
    <xf numFmtId="167" fontId="9" fillId="2" borderId="9" xfId="0" applyNumberFormat="1" applyFont="1" applyFill="1" applyBorder="1" applyAlignment="1">
      <alignment horizontal="center"/>
    </xf>
    <xf numFmtId="6" fontId="9" fillId="0" borderId="0" xfId="0" applyNumberFormat="1" applyFont="1"/>
    <xf numFmtId="0" fontId="31" fillId="2" borderId="9" xfId="0" applyFont="1" applyFill="1" applyBorder="1" applyAlignment="1">
      <alignment horizontal="center"/>
    </xf>
    <xf numFmtId="0" fontId="31" fillId="2" borderId="12" xfId="0" applyFont="1" applyFill="1" applyBorder="1" applyAlignment="1">
      <alignment horizontal="center"/>
    </xf>
    <xf numFmtId="0" fontId="62" fillId="5" borderId="0" xfId="0" applyFont="1" applyFill="1"/>
    <xf numFmtId="0" fontId="0" fillId="5" borderId="0" xfId="0" applyFill="1"/>
    <xf numFmtId="0" fontId="10" fillId="5" borderId="1" xfId="0" applyFont="1" applyFill="1" applyBorder="1" applyAlignment="1">
      <alignment horizontal="center"/>
    </xf>
    <xf numFmtId="0" fontId="26" fillId="5" borderId="7" xfId="0" applyFont="1" applyFill="1" applyBorder="1" applyAlignment="1">
      <alignment horizontal="left"/>
    </xf>
    <xf numFmtId="0" fontId="29" fillId="5" borderId="15" xfId="0" applyFont="1" applyFill="1" applyBorder="1" applyAlignment="1">
      <alignment horizontal="left"/>
    </xf>
    <xf numFmtId="0" fontId="10" fillId="11" borderId="1" xfId="0" applyFont="1" applyFill="1" applyBorder="1" applyAlignment="1">
      <alignment horizontal="center"/>
    </xf>
    <xf numFmtId="0" fontId="10" fillId="11" borderId="6" xfId="0" applyFont="1" applyFill="1" applyBorder="1" applyAlignment="1">
      <alignment horizontal="center"/>
    </xf>
    <xf numFmtId="0" fontId="26" fillId="11" borderId="7" xfId="0" applyFont="1" applyFill="1" applyBorder="1" applyAlignment="1">
      <alignment horizontal="left"/>
    </xf>
    <xf numFmtId="6" fontId="9" fillId="2" borderId="12" xfId="0" applyNumberFormat="1" applyFont="1" applyFill="1" applyBorder="1" applyAlignment="1">
      <alignment horizontal="center"/>
    </xf>
    <xf numFmtId="6" fontId="9" fillId="2" borderId="9" xfId="0" applyNumberFormat="1" applyFont="1" applyFill="1" applyBorder="1" applyAlignment="1">
      <alignment horizontal="center"/>
    </xf>
    <xf numFmtId="1" fontId="13" fillId="0" borderId="4" xfId="1" applyNumberFormat="1" applyFont="1" applyFill="1" applyBorder="1" applyAlignment="1">
      <alignment horizontal="center"/>
    </xf>
    <xf numFmtId="1" fontId="13" fillId="0" borderId="0" xfId="1" applyNumberFormat="1" applyFont="1" applyFill="1" applyBorder="1" applyAlignment="1">
      <alignment horizontal="center"/>
    </xf>
    <xf numFmtId="0" fontId="31" fillId="0" borderId="0" xfId="0" applyFont="1" applyAlignment="1">
      <alignment horizontal="center"/>
    </xf>
    <xf numFmtId="6" fontId="13" fillId="0" borderId="0" xfId="0" applyNumberFormat="1" applyFont="1" applyAlignment="1">
      <alignment horizontal="center"/>
    </xf>
    <xf numFmtId="9" fontId="37" fillId="0" borderId="0" xfId="1" applyFont="1" applyFill="1" applyBorder="1" applyAlignment="1">
      <alignment horizontal="center"/>
    </xf>
    <xf numFmtId="9" fontId="13" fillId="0" borderId="0" xfId="1" applyFont="1" applyFill="1" applyBorder="1" applyAlignment="1">
      <alignment horizontal="center"/>
    </xf>
    <xf numFmtId="0" fontId="29" fillId="0" borderId="0" xfId="0" applyFont="1" applyAlignment="1">
      <alignment horizontal="left"/>
    </xf>
    <xf numFmtId="2" fontId="41" fillId="0" borderId="0" xfId="0" applyNumberFormat="1" applyFont="1" applyAlignment="1">
      <alignment horizontal="center"/>
    </xf>
    <xf numFmtId="6" fontId="13" fillId="2" borderId="12" xfId="0" applyNumberFormat="1" applyFont="1" applyFill="1" applyBorder="1" applyAlignment="1">
      <alignment horizontal="center"/>
    </xf>
    <xf numFmtId="0" fontId="29" fillId="11" borderId="16" xfId="0" applyFont="1" applyFill="1" applyBorder="1" applyAlignment="1">
      <alignment horizontal="left"/>
    </xf>
    <xf numFmtId="164" fontId="9" fillId="0" borderId="0" xfId="1" applyNumberFormat="1" applyFont="1" applyFill="1" applyBorder="1" applyAlignment="1">
      <alignment horizontal="center"/>
    </xf>
    <xf numFmtId="167" fontId="9" fillId="0" borderId="0" xfId="4" applyNumberFormat="1" applyFont="1" applyFill="1" applyBorder="1" applyAlignment="1">
      <alignment horizontal="center"/>
    </xf>
    <xf numFmtId="0" fontId="35" fillId="19" borderId="0" xfId="0" applyFont="1" applyFill="1" applyAlignment="1">
      <alignment vertical="center"/>
    </xf>
    <xf numFmtId="0" fontId="25" fillId="0" borderId="0" xfId="0" applyFont="1" applyAlignment="1">
      <alignment horizontal="right"/>
    </xf>
    <xf numFmtId="1" fontId="13" fillId="2" borderId="9" xfId="1" applyNumberFormat="1" applyFont="1" applyFill="1" applyBorder="1" applyAlignment="1">
      <alignment horizontal="center"/>
    </xf>
    <xf numFmtId="0" fontId="10" fillId="2" borderId="3" xfId="0" applyFont="1" applyFill="1" applyBorder="1" applyAlignment="1">
      <alignment horizontal="center"/>
    </xf>
    <xf numFmtId="6" fontId="26" fillId="2" borderId="0" xfId="0" applyNumberFormat="1" applyFont="1" applyFill="1" applyAlignment="1">
      <alignment horizontal="center" vertical="center"/>
    </xf>
    <xf numFmtId="0" fontId="12" fillId="7" borderId="4" xfId="0" applyFont="1" applyFill="1" applyBorder="1"/>
    <xf numFmtId="0" fontId="12" fillId="19" borderId="4" xfId="0" applyFont="1" applyFill="1" applyBorder="1" applyAlignment="1">
      <alignment horizontal="center"/>
    </xf>
    <xf numFmtId="0" fontId="12" fillId="2" borderId="41" xfId="0" applyFont="1" applyFill="1" applyBorder="1" applyAlignment="1">
      <alignment horizontal="center"/>
    </xf>
    <xf numFmtId="0" fontId="12" fillId="2" borderId="42" xfId="0" applyFont="1" applyFill="1" applyBorder="1" applyAlignment="1">
      <alignment horizontal="center"/>
    </xf>
    <xf numFmtId="6" fontId="26" fillId="2" borderId="43" xfId="0" applyNumberFormat="1" applyFont="1" applyFill="1" applyBorder="1" applyAlignment="1">
      <alignment horizontal="center" vertical="center"/>
    </xf>
    <xf numFmtId="6" fontId="26" fillId="2" borderId="44" xfId="0" applyNumberFormat="1" applyFont="1" applyFill="1" applyBorder="1" applyAlignment="1">
      <alignment horizontal="center" vertical="center"/>
    </xf>
    <xf numFmtId="0" fontId="79" fillId="2" borderId="34" xfId="0" applyFont="1" applyFill="1" applyBorder="1" applyAlignment="1">
      <alignment horizontal="center"/>
    </xf>
    <xf numFmtId="0" fontId="12" fillId="7" borderId="7" xfId="0" applyFont="1" applyFill="1" applyBorder="1"/>
    <xf numFmtId="0" fontId="12" fillId="19" borderId="0" xfId="0" applyFont="1" applyFill="1"/>
    <xf numFmtId="0" fontId="0" fillId="19" borderId="0" xfId="0" applyFill="1"/>
    <xf numFmtId="0" fontId="12" fillId="0" borderId="0" xfId="0" applyFont="1" applyAlignment="1">
      <alignment horizontal="center"/>
    </xf>
    <xf numFmtId="0" fontId="12" fillId="0" borderId="4" xfId="0" applyFont="1" applyBorder="1" applyAlignment="1">
      <alignment horizontal="center"/>
    </xf>
    <xf numFmtId="0" fontId="81" fillId="2" borderId="41" xfId="0" applyFont="1" applyFill="1" applyBorder="1" applyAlignment="1">
      <alignment horizontal="center"/>
    </xf>
    <xf numFmtId="0" fontId="81" fillId="2" borderId="34" xfId="0" applyFont="1" applyFill="1" applyBorder="1" applyAlignment="1">
      <alignment horizontal="center"/>
    </xf>
    <xf numFmtId="0" fontId="81" fillId="2" borderId="42" xfId="0" applyFont="1" applyFill="1" applyBorder="1" applyAlignment="1">
      <alignment horizontal="center"/>
    </xf>
    <xf numFmtId="6" fontId="29" fillId="2" borderId="43" xfId="0" applyNumberFormat="1" applyFont="1" applyFill="1" applyBorder="1" applyAlignment="1">
      <alignment horizontal="center" vertical="center"/>
    </xf>
    <xf numFmtId="6" fontId="29" fillId="2" borderId="0" xfId="0" applyNumberFormat="1" applyFont="1" applyFill="1" applyAlignment="1">
      <alignment horizontal="center" vertical="center"/>
    </xf>
    <xf numFmtId="6" fontId="29" fillId="2" borderId="44" xfId="0" applyNumberFormat="1" applyFont="1" applyFill="1" applyBorder="1" applyAlignment="1">
      <alignment horizontal="center" vertical="center"/>
    </xf>
    <xf numFmtId="0" fontId="13" fillId="2" borderId="18" xfId="0" applyFont="1" applyFill="1" applyBorder="1"/>
    <xf numFmtId="6" fontId="68" fillId="2" borderId="9" xfId="0" applyNumberFormat="1" applyFont="1" applyFill="1" applyBorder="1" applyAlignment="1">
      <alignment horizontal="center" vertical="center"/>
    </xf>
    <xf numFmtId="6" fontId="68" fillId="2" borderId="45" xfId="0" applyNumberFormat="1" applyFont="1" applyFill="1" applyBorder="1" applyAlignment="1">
      <alignment horizontal="center" vertical="center"/>
    </xf>
    <xf numFmtId="0" fontId="13" fillId="2" borderId="19" xfId="0" applyFont="1" applyFill="1" applyBorder="1"/>
    <xf numFmtId="6" fontId="75" fillId="2" borderId="9" xfId="0" applyNumberFormat="1" applyFont="1" applyFill="1" applyBorder="1" applyAlignment="1">
      <alignment horizontal="center" vertical="center"/>
    </xf>
    <xf numFmtId="0" fontId="13" fillId="2" borderId="18" xfId="0" applyFont="1" applyFill="1" applyBorder="1" applyAlignment="1">
      <alignment horizontal="left"/>
    </xf>
    <xf numFmtId="0" fontId="25" fillId="0" borderId="0" xfId="0" applyFont="1"/>
    <xf numFmtId="2" fontId="0" fillId="0" borderId="0" xfId="0" applyNumberFormat="1"/>
    <xf numFmtId="2" fontId="9" fillId="2" borderId="12" xfId="0" applyNumberFormat="1" applyFont="1" applyFill="1" applyBorder="1" applyAlignment="1">
      <alignment horizontal="center"/>
    </xf>
    <xf numFmtId="0" fontId="13" fillId="2" borderId="0" xfId="0" applyFont="1" applyFill="1" applyAlignment="1">
      <alignment horizontal="left"/>
    </xf>
    <xf numFmtId="0" fontId="83" fillId="0" borderId="0" xfId="3" applyFont="1"/>
    <xf numFmtId="0" fontId="83" fillId="0" borderId="0" xfId="3" applyFont="1" applyFill="1"/>
    <xf numFmtId="0" fontId="30" fillId="0" borderId="0" xfId="3" applyFont="1"/>
    <xf numFmtId="0" fontId="84" fillId="0" borderId="0" xfId="0" applyFont="1"/>
    <xf numFmtId="2" fontId="20" fillId="0" borderId="0" xfId="0" applyNumberFormat="1" applyFont="1"/>
    <xf numFmtId="1" fontId="54" fillId="0" borderId="0" xfId="0" applyNumberFormat="1" applyFont="1"/>
    <xf numFmtId="0" fontId="54" fillId="0" borderId="0" xfId="0" applyFont="1"/>
    <xf numFmtId="9" fontId="54" fillId="0" borderId="0" xfId="1" applyFont="1" applyFill="1" applyBorder="1"/>
    <xf numFmtId="0" fontId="63" fillId="0" borderId="0" xfId="0" applyFont="1" applyAlignment="1">
      <alignment horizontal="right"/>
    </xf>
    <xf numFmtId="2" fontId="9" fillId="2" borderId="0" xfId="0" applyNumberFormat="1" applyFont="1" applyFill="1"/>
    <xf numFmtId="2" fontId="10" fillId="0" borderId="0" xfId="0" applyNumberFormat="1" applyFont="1"/>
    <xf numFmtId="0" fontId="37" fillId="0" borderId="0" xfId="0" applyFont="1" applyAlignment="1">
      <alignment horizontal="right"/>
    </xf>
    <xf numFmtId="2" fontId="41" fillId="2" borderId="12" xfId="0" applyNumberFormat="1" applyFont="1" applyFill="1" applyBorder="1" applyAlignment="1">
      <alignment horizontal="center"/>
    </xf>
    <xf numFmtId="6" fontId="75" fillId="2" borderId="12" xfId="0" applyNumberFormat="1" applyFont="1" applyFill="1" applyBorder="1" applyAlignment="1">
      <alignment horizontal="center" vertical="center"/>
    </xf>
    <xf numFmtId="0" fontId="6" fillId="0" borderId="0" xfId="3" applyFill="1" applyBorder="1" applyAlignment="1">
      <alignment vertical="top" wrapText="1"/>
    </xf>
    <xf numFmtId="0" fontId="85" fillId="0" borderId="0" xfId="0" applyFont="1" applyAlignment="1">
      <alignment vertical="top" wrapText="1"/>
    </xf>
    <xf numFmtId="0" fontId="85" fillId="0" borderId="0" xfId="0" applyFont="1" applyAlignment="1">
      <alignment horizontal="center" vertical="top"/>
    </xf>
    <xf numFmtId="0" fontId="69" fillId="0" borderId="0" xfId="0" applyFont="1"/>
    <xf numFmtId="0" fontId="12" fillId="5" borderId="2" xfId="0" applyFont="1" applyFill="1" applyBorder="1"/>
    <xf numFmtId="0" fontId="10" fillId="5" borderId="2" xfId="0" applyFont="1" applyFill="1" applyBorder="1" applyAlignment="1">
      <alignment horizontal="center"/>
    </xf>
    <xf numFmtId="0" fontId="27" fillId="2" borderId="5" xfId="0" applyFont="1" applyFill="1" applyBorder="1"/>
    <xf numFmtId="0" fontId="27" fillId="2" borderId="20" xfId="0" applyFont="1" applyFill="1" applyBorder="1"/>
    <xf numFmtId="0" fontId="13" fillId="2" borderId="0" xfId="0" applyFont="1" applyFill="1"/>
    <xf numFmtId="0" fontId="13" fillId="2" borderId="11" xfId="0" applyFont="1" applyFill="1" applyBorder="1"/>
    <xf numFmtId="0" fontId="13" fillId="2" borderId="13" xfId="0" applyFont="1" applyFill="1" applyBorder="1"/>
    <xf numFmtId="0" fontId="54" fillId="0" borderId="0" xfId="0" applyFont="1" applyAlignment="1">
      <alignment vertical="center"/>
    </xf>
    <xf numFmtId="0" fontId="10" fillId="14" borderId="2" xfId="0" applyFont="1" applyFill="1" applyBorder="1" applyAlignment="1">
      <alignment horizontal="center"/>
    </xf>
    <xf numFmtId="6" fontId="37" fillId="2" borderId="9" xfId="0" applyNumberFormat="1" applyFont="1" applyFill="1" applyBorder="1" applyAlignment="1">
      <alignment horizontal="center"/>
    </xf>
    <xf numFmtId="6" fontId="37" fillId="2" borderId="12" xfId="0" applyNumberFormat="1" applyFont="1" applyFill="1" applyBorder="1" applyAlignment="1">
      <alignment horizontal="center"/>
    </xf>
    <xf numFmtId="0" fontId="9" fillId="9" borderId="1" xfId="0" applyFont="1" applyFill="1" applyBorder="1" applyAlignment="1">
      <alignment horizontal="center"/>
    </xf>
    <xf numFmtId="0" fontId="9" fillId="14" borderId="6" xfId="0" applyFont="1" applyFill="1" applyBorder="1" applyAlignment="1">
      <alignment horizontal="center"/>
    </xf>
    <xf numFmtId="0" fontId="9" fillId="14" borderId="2" xfId="0" applyFont="1" applyFill="1" applyBorder="1" applyAlignment="1">
      <alignment horizontal="center"/>
    </xf>
    <xf numFmtId="9" fontId="31" fillId="2" borderId="9" xfId="1" applyFont="1" applyFill="1" applyBorder="1" applyAlignment="1">
      <alignment horizontal="center"/>
    </xf>
    <xf numFmtId="6" fontId="31" fillId="2" borderId="12" xfId="0" applyNumberFormat="1" applyFont="1" applyFill="1" applyBorder="1" applyAlignment="1">
      <alignment horizontal="center"/>
    </xf>
    <xf numFmtId="9" fontId="31" fillId="2" borderId="12" xfId="1" applyFont="1" applyFill="1" applyBorder="1" applyAlignment="1">
      <alignment horizontal="center"/>
    </xf>
    <xf numFmtId="2" fontId="13" fillId="2" borderId="9" xfId="1" applyNumberFormat="1" applyFont="1" applyFill="1" applyBorder="1" applyAlignment="1">
      <alignment horizontal="center"/>
    </xf>
    <xf numFmtId="0" fontId="54" fillId="20" borderId="47" xfId="0" applyFont="1" applyFill="1" applyBorder="1" applyAlignment="1">
      <alignment horizontal="center" vertical="center"/>
    </xf>
    <xf numFmtId="0" fontId="63" fillId="20" borderId="47" xfId="0" applyFont="1" applyFill="1" applyBorder="1" applyAlignment="1">
      <alignment horizontal="center" vertical="center"/>
    </xf>
    <xf numFmtId="6" fontId="54" fillId="0" borderId="0" xfId="0" applyNumberFormat="1" applyFont="1" applyAlignment="1">
      <alignment horizontal="center" vertical="center"/>
    </xf>
    <xf numFmtId="6" fontId="63" fillId="0" borderId="0" xfId="0" applyNumberFormat="1" applyFont="1" applyAlignment="1">
      <alignment horizontal="center" vertical="center"/>
    </xf>
    <xf numFmtId="0" fontId="9" fillId="0" borderId="47" xfId="0" applyFont="1" applyBorder="1" applyAlignment="1">
      <alignment horizontal="left" vertical="center"/>
    </xf>
    <xf numFmtId="6" fontId="54" fillId="0" borderId="47" xfId="0" applyNumberFormat="1" applyFont="1" applyBorder="1" applyAlignment="1">
      <alignment horizontal="center" vertical="center"/>
    </xf>
    <xf numFmtId="6" fontId="63" fillId="0" borderId="47" xfId="0" applyNumberFormat="1" applyFont="1" applyBorder="1" applyAlignment="1">
      <alignment horizontal="center" vertical="center"/>
    </xf>
    <xf numFmtId="6" fontId="75" fillId="0" borderId="0" xfId="0" applyNumberFormat="1" applyFont="1" applyAlignment="1">
      <alignment horizontal="center" vertical="center"/>
    </xf>
    <xf numFmtId="0" fontId="35" fillId="0" borderId="0" xfId="0" applyFont="1" applyAlignment="1">
      <alignment vertical="center"/>
    </xf>
    <xf numFmtId="9" fontId="54" fillId="0" borderId="0" xfId="1" applyFont="1" applyAlignment="1">
      <alignment horizontal="center" vertical="center"/>
    </xf>
    <xf numFmtId="9" fontId="63" fillId="0" borderId="0" xfId="1" applyFont="1" applyAlignment="1">
      <alignment horizontal="center" vertical="center"/>
    </xf>
    <xf numFmtId="9" fontId="54" fillId="0" borderId="47" xfId="1" applyFont="1" applyBorder="1" applyAlignment="1">
      <alignment horizontal="center" vertical="center"/>
    </xf>
    <xf numFmtId="9" fontId="63" fillId="0" borderId="47" xfId="1" applyFont="1" applyBorder="1" applyAlignment="1">
      <alignment horizontal="center" vertical="center"/>
    </xf>
    <xf numFmtId="9" fontId="9" fillId="0" borderId="0" xfId="1" applyFont="1" applyAlignment="1">
      <alignment horizontal="center"/>
    </xf>
    <xf numFmtId="0" fontId="16" fillId="0" borderId="0" xfId="0" applyFont="1"/>
    <xf numFmtId="0" fontId="37" fillId="2" borderId="14" xfId="0" applyFont="1" applyFill="1" applyBorder="1" applyAlignment="1">
      <alignment horizontal="left"/>
    </xf>
    <xf numFmtId="0" fontId="10" fillId="0" borderId="47" xfId="0" applyFont="1" applyBorder="1" applyAlignment="1">
      <alignment vertical="center"/>
    </xf>
    <xf numFmtId="0" fontId="10" fillId="0" borderId="0" xfId="0" applyFont="1" applyAlignment="1">
      <alignment vertical="center"/>
    </xf>
    <xf numFmtId="0" fontId="63" fillId="0" borderId="0" xfId="0" applyFont="1" applyAlignment="1">
      <alignment horizontal="center" vertical="center"/>
    </xf>
    <xf numFmtId="0" fontId="54" fillId="0" borderId="0" xfId="0" applyFont="1" applyAlignment="1">
      <alignment horizontal="center" vertical="center"/>
    </xf>
    <xf numFmtId="9" fontId="9" fillId="0" borderId="0" xfId="1" applyFont="1" applyFill="1" applyBorder="1" applyAlignment="1">
      <alignment horizontal="center"/>
    </xf>
    <xf numFmtId="6" fontId="9" fillId="0" borderId="0" xfId="0" applyNumberFormat="1" applyFont="1" applyAlignment="1">
      <alignment horizontal="center"/>
    </xf>
    <xf numFmtId="6" fontId="26" fillId="0" borderId="0" xfId="0" applyNumberFormat="1" applyFont="1" applyAlignment="1">
      <alignment horizontal="center"/>
    </xf>
    <xf numFmtId="6" fontId="10" fillId="0" borderId="0" xfId="0" applyNumberFormat="1" applyFont="1" applyAlignment="1">
      <alignment horizontal="center"/>
    </xf>
    <xf numFmtId="0" fontId="90" fillId="0" borderId="0" xfId="0" applyFont="1"/>
    <xf numFmtId="0" fontId="97" fillId="2" borderId="0" xfId="0" applyFont="1" applyFill="1"/>
    <xf numFmtId="0" fontId="87" fillId="0" borderId="0" xfId="0" applyFont="1"/>
    <xf numFmtId="0" fontId="11" fillId="0" borderId="0" xfId="0" applyFont="1"/>
    <xf numFmtId="0" fontId="62" fillId="0" borderId="0" xfId="0" applyFont="1" applyAlignment="1">
      <alignment vertical="center"/>
    </xf>
    <xf numFmtId="0" fontId="12" fillId="0" borderId="0" xfId="0" applyFont="1" applyAlignment="1">
      <alignment vertical="center"/>
    </xf>
    <xf numFmtId="0" fontId="33" fillId="4" borderId="0" xfId="3" applyFont="1" applyFill="1" applyAlignment="1">
      <alignment vertical="center"/>
    </xf>
    <xf numFmtId="0" fontId="33" fillId="0" borderId="0" xfId="3" applyFont="1" applyFill="1" applyAlignment="1">
      <alignment vertical="center"/>
    </xf>
    <xf numFmtId="0" fontId="9" fillId="0" borderId="0" xfId="0" applyFont="1" applyAlignment="1">
      <alignment vertical="center"/>
    </xf>
    <xf numFmtId="0" fontId="60" fillId="3" borderId="0" xfId="3" applyFont="1" applyFill="1" applyAlignment="1">
      <alignment vertical="center"/>
    </xf>
    <xf numFmtId="0" fontId="20" fillId="0" borderId="0" xfId="2" applyFont="1" applyAlignment="1">
      <alignment vertical="center"/>
    </xf>
    <xf numFmtId="0" fontId="14" fillId="0" borderId="0" xfId="0" applyFont="1" applyAlignment="1">
      <alignment vertical="center"/>
    </xf>
    <xf numFmtId="0" fontId="19" fillId="0" borderId="0" xfId="0" applyFont="1" applyAlignment="1">
      <alignment vertical="center"/>
    </xf>
    <xf numFmtId="0" fontId="104" fillId="0" borderId="0" xfId="0" applyFont="1" applyAlignment="1">
      <alignment vertical="center"/>
    </xf>
    <xf numFmtId="0" fontId="105" fillId="0" borderId="0" xfId="0" applyFont="1" applyAlignment="1">
      <alignment vertical="center"/>
    </xf>
    <xf numFmtId="0" fontId="20" fillId="0" borderId="0" xfId="0" applyFont="1" applyAlignment="1">
      <alignment vertical="center"/>
    </xf>
    <xf numFmtId="0" fontId="106" fillId="0" borderId="0" xfId="0" applyFont="1" applyAlignment="1">
      <alignment vertical="center"/>
    </xf>
    <xf numFmtId="0" fontId="60" fillId="9" borderId="0" xfId="3" applyFont="1" applyFill="1" applyAlignment="1">
      <alignment vertical="center"/>
    </xf>
    <xf numFmtId="0" fontId="60" fillId="10" borderId="0" xfId="3" applyFont="1" applyFill="1" applyAlignment="1">
      <alignment vertical="center"/>
    </xf>
    <xf numFmtId="0" fontId="108" fillId="0" borderId="0" xfId="0" applyFont="1" applyAlignment="1">
      <alignment vertical="center"/>
    </xf>
    <xf numFmtId="0" fontId="60" fillId="11" borderId="0" xfId="3" applyFont="1" applyFill="1" applyAlignment="1">
      <alignment vertical="center"/>
    </xf>
    <xf numFmtId="0" fontId="60" fillId="13" borderId="0" xfId="3" applyFont="1" applyFill="1" applyAlignment="1">
      <alignment vertical="center"/>
    </xf>
    <xf numFmtId="0" fontId="60" fillId="14" borderId="0" xfId="3" applyFont="1" applyFill="1" applyAlignment="1">
      <alignment vertical="center"/>
    </xf>
    <xf numFmtId="0" fontId="60" fillId="19" borderId="0" xfId="3" applyFont="1" applyFill="1" applyAlignment="1">
      <alignment vertical="center"/>
    </xf>
    <xf numFmtId="0" fontId="110" fillId="0" borderId="0" xfId="3" applyFont="1" applyAlignment="1">
      <alignment horizontal="left"/>
    </xf>
    <xf numFmtId="0" fontId="111" fillId="0" borderId="0" xfId="0" applyFont="1"/>
    <xf numFmtId="0" fontId="108" fillId="0" borderId="0" xfId="0" applyFont="1"/>
    <xf numFmtId="0" fontId="20" fillId="0" borderId="0" xfId="0" applyFont="1" applyAlignment="1">
      <alignment wrapText="1"/>
    </xf>
    <xf numFmtId="0" fontId="12" fillId="0" borderId="0" xfId="0" applyFont="1"/>
    <xf numFmtId="0" fontId="107" fillId="0" borderId="4" xfId="0" applyFont="1" applyBorder="1" applyAlignment="1">
      <alignment horizontal="left"/>
    </xf>
    <xf numFmtId="0" fontId="24" fillId="3" borderId="0" xfId="0" applyFont="1" applyFill="1"/>
    <xf numFmtId="0" fontId="20" fillId="3" borderId="0" xfId="0" applyFont="1" applyFill="1"/>
    <xf numFmtId="0" fontId="20" fillId="2" borderId="0" xfId="0" applyFont="1" applyFill="1"/>
    <xf numFmtId="0" fontId="110" fillId="2" borderId="0" xfId="3" applyFont="1" applyFill="1" applyAlignment="1">
      <alignment horizontal="left"/>
    </xf>
    <xf numFmtId="0" fontId="43" fillId="2" borderId="3" xfId="0" applyFont="1" applyFill="1" applyBorder="1" applyAlignment="1">
      <alignment horizontal="center"/>
    </xf>
    <xf numFmtId="0" fontId="10" fillId="2" borderId="5" xfId="0" applyFont="1" applyFill="1" applyBorder="1"/>
    <xf numFmtId="0" fontId="27" fillId="2" borderId="0" xfId="0" applyFont="1" applyFill="1"/>
    <xf numFmtId="0" fontId="13" fillId="5" borderId="9" xfId="0" applyFont="1" applyFill="1" applyBorder="1" applyAlignment="1" applyProtection="1">
      <alignment horizontal="center"/>
      <protection locked="0"/>
    </xf>
    <xf numFmtId="0" fontId="42" fillId="2" borderId="9" xfId="0" applyFont="1" applyFill="1" applyBorder="1" applyAlignment="1">
      <alignment horizontal="center"/>
    </xf>
    <xf numFmtId="6" fontId="13" fillId="2" borderId="9" xfId="0" applyNumberFormat="1" applyFont="1" applyFill="1" applyBorder="1"/>
    <xf numFmtId="6" fontId="13" fillId="5" borderId="9" xfId="0" applyNumberFormat="1" applyFont="1" applyFill="1" applyBorder="1"/>
    <xf numFmtId="6" fontId="41" fillId="2" borderId="9" xfId="0" applyNumberFormat="1" applyFont="1" applyFill="1" applyBorder="1"/>
    <xf numFmtId="0" fontId="13" fillId="2" borderId="9" xfId="0" applyFont="1" applyFill="1" applyBorder="1" applyAlignment="1">
      <alignment horizontal="center"/>
    </xf>
    <xf numFmtId="0" fontId="41" fillId="2" borderId="9" xfId="0" applyFont="1" applyFill="1" applyBorder="1"/>
    <xf numFmtId="166" fontId="9" fillId="2" borderId="9" xfId="1" applyNumberFormat="1" applyFont="1" applyFill="1" applyBorder="1" applyAlignment="1">
      <alignment horizontal="center"/>
    </xf>
    <xf numFmtId="6" fontId="13" fillId="2" borderId="4" xfId="0" applyNumberFormat="1" applyFont="1" applyFill="1" applyBorder="1"/>
    <xf numFmtId="0" fontId="13" fillId="5" borderId="12" xfId="0" applyFont="1" applyFill="1" applyBorder="1" applyAlignment="1" applyProtection="1">
      <alignment horizontal="center"/>
      <protection locked="0"/>
    </xf>
    <xf numFmtId="6" fontId="13" fillId="2" borderId="12" xfId="0" applyNumberFormat="1" applyFont="1" applyFill="1" applyBorder="1"/>
    <xf numFmtId="6" fontId="41" fillId="2" borderId="12" xfId="0" applyNumberFormat="1" applyFont="1" applyFill="1" applyBorder="1"/>
    <xf numFmtId="164" fontId="13" fillId="2" borderId="8" xfId="1" applyNumberFormat="1" applyFont="1" applyFill="1" applyBorder="1" applyAlignment="1">
      <alignment horizontal="center"/>
    </xf>
    <xf numFmtId="0" fontId="42" fillId="2" borderId="8" xfId="0" applyFont="1" applyFill="1" applyBorder="1" applyAlignment="1">
      <alignment horizontal="center"/>
    </xf>
    <xf numFmtId="6" fontId="13" fillId="2" borderId="7" xfId="0" applyNumberFormat="1" applyFont="1" applyFill="1" applyBorder="1"/>
    <xf numFmtId="0" fontId="114" fillId="2" borderId="8" xfId="0" applyFont="1" applyFill="1" applyBorder="1"/>
    <xf numFmtId="0" fontId="20" fillId="2" borderId="10" xfId="0" applyFont="1" applyFill="1" applyBorder="1"/>
    <xf numFmtId="0" fontId="10" fillId="2" borderId="0" xfId="0" applyFont="1" applyFill="1" applyAlignment="1">
      <alignment horizontal="left"/>
    </xf>
    <xf numFmtId="164" fontId="13" fillId="2" borderId="9" xfId="1" applyNumberFormat="1" applyFont="1" applyFill="1" applyBorder="1" applyAlignment="1">
      <alignment horizontal="center"/>
    </xf>
    <xf numFmtId="0" fontId="114" fillId="2" borderId="9" xfId="0" applyFont="1" applyFill="1" applyBorder="1"/>
    <xf numFmtId="0" fontId="9" fillId="2" borderId="0" xfId="0" applyFont="1" applyFill="1" applyAlignment="1">
      <alignment horizontal="left"/>
    </xf>
    <xf numFmtId="164" fontId="13" fillId="5" borderId="9" xfId="0" applyNumberFormat="1" applyFont="1" applyFill="1" applyBorder="1" applyAlignment="1" applyProtection="1">
      <alignment horizontal="center"/>
      <protection locked="0"/>
    </xf>
    <xf numFmtId="0" fontId="10" fillId="2" borderId="0" xfId="0" applyFont="1" applyFill="1" applyAlignment="1">
      <alignment horizontal="left" indent="1"/>
    </xf>
    <xf numFmtId="164" fontId="13" fillId="5" borderId="12" xfId="0" applyNumberFormat="1" applyFont="1" applyFill="1" applyBorder="1" applyAlignment="1" applyProtection="1">
      <alignment horizontal="center"/>
      <protection locked="0"/>
    </xf>
    <xf numFmtId="6" fontId="13" fillId="2" borderId="11" xfId="0" applyNumberFormat="1" applyFont="1" applyFill="1" applyBorder="1"/>
    <xf numFmtId="6" fontId="13" fillId="5" borderId="12" xfId="0" applyNumberFormat="1" applyFont="1" applyFill="1" applyBorder="1"/>
    <xf numFmtId="0" fontId="20" fillId="2" borderId="0" xfId="0" applyFont="1" applyFill="1" applyAlignment="1">
      <alignment horizontal="left"/>
    </xf>
    <xf numFmtId="2" fontId="9" fillId="2" borderId="0" xfId="1" applyNumberFormat="1" applyFont="1" applyFill="1" applyBorder="1" applyAlignment="1">
      <alignment horizontal="center"/>
    </xf>
    <xf numFmtId="2" fontId="9" fillId="2" borderId="0" xfId="1" applyNumberFormat="1" applyFont="1" applyFill="1" applyBorder="1"/>
    <xf numFmtId="165" fontId="9" fillId="2" borderId="0" xfId="0" applyNumberFormat="1" applyFont="1" applyFill="1" applyAlignment="1">
      <alignment horizontal="center"/>
    </xf>
    <xf numFmtId="0" fontId="27" fillId="2" borderId="0" xfId="0" applyFont="1" applyFill="1" applyAlignment="1">
      <alignment horizontal="center"/>
    </xf>
    <xf numFmtId="6" fontId="9" fillId="2" borderId="0" xfId="0" applyNumberFormat="1" applyFont="1" applyFill="1"/>
    <xf numFmtId="0" fontId="9" fillId="2" borderId="0" xfId="0" applyFont="1" applyFill="1"/>
    <xf numFmtId="165" fontId="9" fillId="5" borderId="9" xfId="0" applyNumberFormat="1" applyFont="1" applyFill="1" applyBorder="1" applyAlignment="1" applyProtection="1">
      <alignment horizontal="center"/>
      <protection locked="0"/>
    </xf>
    <xf numFmtId="165" fontId="13" fillId="5" borderId="12" xfId="0" applyNumberFormat="1" applyFont="1" applyFill="1" applyBorder="1" applyAlignment="1" applyProtection="1">
      <alignment horizontal="center"/>
      <protection locked="0"/>
    </xf>
    <xf numFmtId="2" fontId="13" fillId="2" borderId="12" xfId="1" applyNumberFormat="1" applyFont="1" applyFill="1" applyBorder="1" applyAlignment="1">
      <alignment horizontal="center"/>
    </xf>
    <xf numFmtId="0" fontId="43" fillId="2" borderId="3" xfId="0" applyFont="1" applyFill="1" applyBorder="1"/>
    <xf numFmtId="165" fontId="13" fillId="5" borderId="9" xfId="0" applyNumberFormat="1" applyFont="1" applyFill="1" applyBorder="1" applyAlignment="1" applyProtection="1">
      <alignment horizontal="center"/>
      <protection locked="0"/>
    </xf>
    <xf numFmtId="165" fontId="31" fillId="2" borderId="0" xfId="0" applyNumberFormat="1" applyFont="1" applyFill="1" applyAlignment="1">
      <alignment horizontal="center"/>
    </xf>
    <xf numFmtId="165" fontId="13" fillId="2" borderId="12" xfId="1" applyNumberFormat="1" applyFont="1" applyFill="1" applyBorder="1" applyAlignment="1">
      <alignment horizontal="center"/>
    </xf>
    <xf numFmtId="165" fontId="31" fillId="2" borderId="13" xfId="0" applyNumberFormat="1" applyFont="1" applyFill="1" applyBorder="1" applyAlignment="1">
      <alignment horizontal="center"/>
    </xf>
    <xf numFmtId="0" fontId="20" fillId="5" borderId="0" xfId="0" applyFont="1" applyFill="1"/>
    <xf numFmtId="0" fontId="20" fillId="11" borderId="0" xfId="0" applyFont="1" applyFill="1"/>
    <xf numFmtId="0" fontId="13" fillId="0" borderId="26" xfId="0" applyFont="1" applyBorder="1" applyAlignment="1">
      <alignment vertical="center" wrapText="1"/>
    </xf>
    <xf numFmtId="0" fontId="87" fillId="0" borderId="0" xfId="0" applyFont="1" applyAlignment="1">
      <alignment vertical="center"/>
    </xf>
    <xf numFmtId="0" fontId="115" fillId="0" borderId="0" xfId="0" applyFont="1" applyAlignment="1">
      <alignment vertical="center"/>
    </xf>
    <xf numFmtId="0" fontId="12" fillId="21" borderId="2" xfId="0" applyFont="1" applyFill="1" applyBorder="1"/>
    <xf numFmtId="0" fontId="24" fillId="21" borderId="0" xfId="0" applyFont="1" applyFill="1"/>
    <xf numFmtId="0" fontId="20" fillId="21" borderId="0" xfId="0" applyFont="1" applyFill="1"/>
    <xf numFmtId="0" fontId="115" fillId="0" borderId="0" xfId="0" applyFont="1"/>
    <xf numFmtId="0" fontId="12" fillId="21" borderId="1" xfId="0" applyFont="1" applyFill="1" applyBorder="1"/>
    <xf numFmtId="0" fontId="12" fillId="5" borderId="1" xfId="0" applyFont="1" applyFill="1" applyBorder="1"/>
    <xf numFmtId="0" fontId="37" fillId="22" borderId="0" xfId="0" applyFont="1" applyFill="1"/>
    <xf numFmtId="0" fontId="12" fillId="22" borderId="1" xfId="0" applyFont="1" applyFill="1" applyBorder="1"/>
    <xf numFmtId="0" fontId="104" fillId="0" borderId="0" xfId="0" applyFont="1"/>
    <xf numFmtId="0" fontId="117" fillId="0" borderId="0" xfId="0" applyFont="1"/>
    <xf numFmtId="0" fontId="118" fillId="0" borderId="0" xfId="0" applyFont="1" applyAlignment="1">
      <alignment horizontal="center"/>
    </xf>
    <xf numFmtId="0" fontId="26" fillId="0" borderId="0" xfId="0" applyFont="1"/>
    <xf numFmtId="6" fontId="10" fillId="0" borderId="0" xfId="0" applyNumberFormat="1" applyFont="1"/>
    <xf numFmtId="6" fontId="26" fillId="0" borderId="0" xfId="0" applyNumberFormat="1" applyFont="1"/>
    <xf numFmtId="0" fontId="68" fillId="0" borderId="0" xfId="0" applyFont="1"/>
    <xf numFmtId="6" fontId="68" fillId="0" borderId="0" xfId="0" applyNumberFormat="1" applyFont="1"/>
    <xf numFmtId="0" fontId="26" fillId="11" borderId="0" xfId="0" applyFont="1" applyFill="1"/>
    <xf numFmtId="6" fontId="10" fillId="11" borderId="0" xfId="0" applyNumberFormat="1" applyFont="1" applyFill="1"/>
    <xf numFmtId="6" fontId="26" fillId="11" borderId="0" xfId="0" applyNumberFormat="1" applyFont="1" applyFill="1"/>
    <xf numFmtId="0" fontId="87" fillId="0" borderId="0" xfId="0" applyFont="1" applyAlignment="1">
      <alignment horizontal="right" indent="1"/>
    </xf>
    <xf numFmtId="0" fontId="29" fillId="0" borderId="0" xfId="0" applyFont="1" applyAlignment="1">
      <alignment horizontal="right"/>
    </xf>
    <xf numFmtId="6" fontId="49" fillId="0" borderId="0" xfId="0" applyNumberFormat="1" applyFont="1"/>
    <xf numFmtId="6" fontId="37" fillId="0" borderId="0" xfId="0" applyNumberFormat="1" applyFont="1"/>
    <xf numFmtId="0" fontId="75" fillId="0" borderId="0" xfId="0" applyFont="1" applyAlignment="1">
      <alignment horizontal="left"/>
    </xf>
    <xf numFmtId="0" fontId="75" fillId="0" borderId="0" xfId="0" applyFont="1" applyAlignment="1">
      <alignment horizontal="right"/>
    </xf>
    <xf numFmtId="6" fontId="11" fillId="0" borderId="0" xfId="0" applyNumberFormat="1" applyFont="1"/>
    <xf numFmtId="6" fontId="13" fillId="0" borderId="0" xfId="0" applyNumberFormat="1" applyFont="1"/>
    <xf numFmtId="0" fontId="29" fillId="11" borderId="0" xfId="0" applyFont="1" applyFill="1" applyAlignment="1">
      <alignment horizontal="left"/>
    </xf>
    <xf numFmtId="0" fontId="29" fillId="11" borderId="0" xfId="0" applyFont="1" applyFill="1" applyAlignment="1">
      <alignment horizontal="right"/>
    </xf>
    <xf numFmtId="6" fontId="49" fillId="11" borderId="0" xfId="0" applyNumberFormat="1" applyFont="1" applyFill="1"/>
    <xf numFmtId="6" fontId="37" fillId="11" borderId="0" xfId="0" applyNumberFormat="1" applyFont="1" applyFill="1"/>
    <xf numFmtId="0" fontId="26" fillId="5" borderId="0" xfId="0" applyFont="1" applyFill="1"/>
    <xf numFmtId="6" fontId="10" fillId="5" borderId="0" xfId="0" applyNumberFormat="1" applyFont="1" applyFill="1"/>
    <xf numFmtId="6" fontId="26" fillId="5" borderId="0" xfId="0" applyNumberFormat="1" applyFont="1" applyFill="1"/>
    <xf numFmtId="0" fontId="29" fillId="5" borderId="0" xfId="0" applyFont="1" applyFill="1" applyAlignment="1">
      <alignment horizontal="left"/>
    </xf>
    <xf numFmtId="0" fontId="29" fillId="5" borderId="0" xfId="0" applyFont="1" applyFill="1" applyAlignment="1">
      <alignment horizontal="right"/>
    </xf>
    <xf numFmtId="6" fontId="49" fillId="5" borderId="0" xfId="0" applyNumberFormat="1" applyFont="1" applyFill="1"/>
    <xf numFmtId="6" fontId="37" fillId="5" borderId="0" xfId="0" applyNumberFormat="1" applyFont="1" applyFill="1"/>
    <xf numFmtId="0" fontId="104" fillId="2" borderId="4" xfId="0" applyFont="1" applyFill="1" applyBorder="1"/>
    <xf numFmtId="0" fontId="119" fillId="0" borderId="26" xfId="0" applyFont="1" applyBorder="1" applyAlignment="1">
      <alignment horizontal="right" vertical="center" wrapText="1"/>
    </xf>
    <xf numFmtId="0" fontId="119" fillId="0" borderId="26" xfId="0" applyFont="1" applyBorder="1" applyAlignment="1">
      <alignment vertical="center" wrapText="1"/>
    </xf>
    <xf numFmtId="0" fontId="119" fillId="0" borderId="0" xfId="0" applyFont="1"/>
    <xf numFmtId="2" fontId="119" fillId="0" borderId="27" xfId="0" applyNumberFormat="1" applyFont="1" applyBorder="1" applyAlignment="1">
      <alignment horizontal="right" vertical="center" wrapText="1"/>
    </xf>
    <xf numFmtId="2" fontId="119" fillId="0" borderId="26" xfId="0" applyNumberFormat="1" applyFont="1" applyBorder="1" applyAlignment="1">
      <alignment horizontal="right" vertical="center" wrapText="1"/>
    </xf>
    <xf numFmtId="3" fontId="119" fillId="0" borderId="26" xfId="0" applyNumberFormat="1" applyFont="1" applyBorder="1" applyAlignment="1">
      <alignment horizontal="right" vertical="center" wrapText="1"/>
    </xf>
    <xf numFmtId="2" fontId="119" fillId="0" borderId="29" xfId="0" applyNumberFormat="1" applyFont="1" applyBorder="1" applyAlignment="1">
      <alignment horizontal="right" vertical="center" wrapText="1"/>
    </xf>
    <xf numFmtId="2" fontId="119" fillId="0" borderId="32" xfId="0" applyNumberFormat="1" applyFont="1" applyBorder="1" applyAlignment="1">
      <alignment horizontal="right" vertical="center" wrapText="1"/>
    </xf>
    <xf numFmtId="0" fontId="105" fillId="0" borderId="0" xfId="0" applyFont="1"/>
    <xf numFmtId="0" fontId="122" fillId="0" borderId="0" xfId="0" applyFont="1" applyAlignment="1">
      <alignment horizontal="right"/>
    </xf>
    <xf numFmtId="164" fontId="122" fillId="0" borderId="0" xfId="0" applyNumberFormat="1" applyFont="1"/>
    <xf numFmtId="0" fontId="122" fillId="0" borderId="0" xfId="0" applyFont="1"/>
    <xf numFmtId="0" fontId="36" fillId="22" borderId="0" xfId="0" applyFont="1" applyFill="1"/>
    <xf numFmtId="0" fontId="20" fillId="22" borderId="0" xfId="0" applyFont="1" applyFill="1"/>
    <xf numFmtId="0" fontId="25" fillId="22" borderId="0" xfId="0" applyFont="1" applyFill="1"/>
    <xf numFmtId="0" fontId="0" fillId="22" borderId="0" xfId="0" applyFill="1"/>
    <xf numFmtId="0" fontId="91" fillId="22" borderId="1" xfId="0" applyFont="1" applyFill="1" applyBorder="1"/>
    <xf numFmtId="0" fontId="91" fillId="22" borderId="3" xfId="0" applyFont="1" applyFill="1" applyBorder="1"/>
    <xf numFmtId="0" fontId="91" fillId="22" borderId="2" xfId="0" applyFont="1" applyFill="1" applyBorder="1"/>
    <xf numFmtId="0" fontId="88" fillId="22" borderId="4" xfId="0" applyFont="1" applyFill="1" applyBorder="1"/>
    <xf numFmtId="0" fontId="89" fillId="22" borderId="1" xfId="0" applyFont="1" applyFill="1" applyBorder="1" applyAlignment="1">
      <alignment horizontal="center"/>
    </xf>
    <xf numFmtId="0" fontId="98" fillId="22" borderId="6" xfId="0" applyFont="1" applyFill="1" applyBorder="1" applyAlignment="1">
      <alignment horizontal="center"/>
    </xf>
    <xf numFmtId="0" fontId="99" fillId="22" borderId="6" xfId="0" applyFont="1" applyFill="1" applyBorder="1" applyAlignment="1">
      <alignment horizontal="center"/>
    </xf>
    <xf numFmtId="0" fontId="89" fillId="22" borderId="1" xfId="0" applyFont="1" applyFill="1" applyBorder="1"/>
    <xf numFmtId="0" fontId="89" fillId="22" borderId="3" xfId="0" applyFont="1" applyFill="1" applyBorder="1"/>
    <xf numFmtId="0" fontId="89" fillId="22" borderId="2" xfId="0" applyFont="1" applyFill="1" applyBorder="1"/>
    <xf numFmtId="0" fontId="100" fillId="2" borderId="1" xfId="0" applyFont="1" applyFill="1" applyBorder="1" applyAlignment="1">
      <alignment horizontal="left"/>
    </xf>
    <xf numFmtId="164" fontId="123" fillId="2" borderId="1" xfId="1" applyNumberFormat="1" applyFont="1" applyFill="1" applyBorder="1" applyAlignment="1">
      <alignment horizontal="center"/>
    </xf>
    <xf numFmtId="164" fontId="124" fillId="2" borderId="1" xfId="1" applyNumberFormat="1" applyFont="1" applyFill="1" applyBorder="1" applyAlignment="1">
      <alignment horizontal="center"/>
    </xf>
    <xf numFmtId="164" fontId="123" fillId="2" borderId="6" xfId="1" applyNumberFormat="1" applyFont="1" applyFill="1" applyBorder="1" applyAlignment="1">
      <alignment horizontal="center"/>
    </xf>
    <xf numFmtId="164" fontId="123" fillId="2" borderId="1" xfId="1" applyNumberFormat="1" applyFont="1" applyFill="1" applyBorder="1" applyAlignment="1">
      <alignment horizontal="left"/>
    </xf>
    <xf numFmtId="164" fontId="123" fillId="2" borderId="3" xfId="1" applyNumberFormat="1" applyFont="1" applyFill="1" applyBorder="1" applyAlignment="1">
      <alignment horizontal="left"/>
    </xf>
    <xf numFmtId="0" fontId="90" fillId="2" borderId="3" xfId="0" applyFont="1" applyFill="1" applyBorder="1"/>
    <xf numFmtId="0" fontId="90" fillId="2" borderId="2" xfId="0" applyFont="1" applyFill="1" applyBorder="1"/>
    <xf numFmtId="0" fontId="95" fillId="2" borderId="4" xfId="0" applyFont="1" applyFill="1" applyBorder="1"/>
    <xf numFmtId="0" fontId="93" fillId="2" borderId="0" xfId="0" applyFont="1" applyFill="1"/>
    <xf numFmtId="0" fontId="93" fillId="2" borderId="18" xfId="0" applyFont="1" applyFill="1" applyBorder="1"/>
    <xf numFmtId="0" fontId="93" fillId="2" borderId="4" xfId="0" applyFont="1" applyFill="1" applyBorder="1"/>
    <xf numFmtId="0" fontId="92" fillId="2" borderId="11" xfId="0" applyFont="1" applyFill="1" applyBorder="1"/>
    <xf numFmtId="0" fontId="92" fillId="2" borderId="13" xfId="0" applyFont="1" applyFill="1" applyBorder="1"/>
    <xf numFmtId="0" fontId="92" fillId="2" borderId="19" xfId="0" applyFont="1" applyFill="1" applyBorder="1"/>
    <xf numFmtId="0" fontId="102" fillId="2" borderId="48" xfId="0" applyFont="1" applyFill="1" applyBorder="1" applyAlignment="1">
      <alignment horizontal="left"/>
    </xf>
    <xf numFmtId="164" fontId="123" fillId="2" borderId="49" xfId="1" applyNumberFormat="1" applyFont="1" applyFill="1" applyBorder="1" applyAlignment="1">
      <alignment horizontal="center"/>
    </xf>
    <xf numFmtId="164" fontId="124" fillId="2" borderId="49" xfId="1" applyNumberFormat="1" applyFont="1" applyFill="1" applyBorder="1" applyAlignment="1">
      <alignment horizontal="center"/>
    </xf>
    <xf numFmtId="164" fontId="123" fillId="2" borderId="50" xfId="1" applyNumberFormat="1" applyFont="1" applyFill="1" applyBorder="1" applyAlignment="1">
      <alignment horizontal="center"/>
    </xf>
    <xf numFmtId="0" fontId="90" fillId="2" borderId="11" xfId="0" applyFont="1" applyFill="1" applyBorder="1"/>
    <xf numFmtId="0" fontId="90" fillId="2" borderId="13" xfId="0" applyFont="1" applyFill="1" applyBorder="1"/>
    <xf numFmtId="0" fontId="90" fillId="2" borderId="19" xfId="0" applyFont="1" applyFill="1" applyBorder="1"/>
    <xf numFmtId="0" fontId="97" fillId="2" borderId="5" xfId="0" applyFont="1" applyFill="1" applyBorder="1"/>
    <xf numFmtId="0" fontId="92" fillId="2" borderId="5" xfId="0" applyFont="1" applyFill="1" applyBorder="1"/>
    <xf numFmtId="0" fontId="92" fillId="2" borderId="20" xfId="0" applyFont="1" applyFill="1" applyBorder="1"/>
    <xf numFmtId="0" fontId="92" fillId="2" borderId="0" xfId="0" applyFont="1" applyFill="1"/>
    <xf numFmtId="0" fontId="92" fillId="2" borderId="18" xfId="0" applyFont="1" applyFill="1" applyBorder="1"/>
    <xf numFmtId="0" fontId="97" fillId="2" borderId="13" xfId="0" applyFont="1" applyFill="1" applyBorder="1"/>
    <xf numFmtId="0" fontId="96" fillId="22" borderId="0" xfId="0" applyFont="1" applyFill="1"/>
    <xf numFmtId="164" fontId="95" fillId="22" borderId="0" xfId="1" applyNumberFormat="1" applyFont="1" applyFill="1" applyBorder="1" applyAlignment="1">
      <alignment horizontal="center"/>
    </xf>
    <xf numFmtId="0" fontId="90" fillId="22" borderId="0" xfId="0" applyFont="1" applyFill="1"/>
    <xf numFmtId="164" fontId="124" fillId="2" borderId="4" xfId="1" applyNumberFormat="1" applyFont="1" applyFill="1" applyBorder="1" applyAlignment="1">
      <alignment horizontal="center"/>
    </xf>
    <xf numFmtId="2" fontId="94" fillId="2" borderId="4" xfId="1" applyNumberFormat="1" applyFont="1" applyFill="1" applyBorder="1" applyAlignment="1">
      <alignment horizontal="right"/>
    </xf>
    <xf numFmtId="0" fontId="104" fillId="2" borderId="9" xfId="0" applyFont="1" applyFill="1" applyBorder="1"/>
    <xf numFmtId="0" fontId="104" fillId="2" borderId="12" xfId="0" applyFont="1" applyFill="1" applyBorder="1"/>
    <xf numFmtId="0" fontId="10" fillId="22" borderId="1" xfId="0" applyFont="1" applyFill="1" applyBorder="1" applyAlignment="1">
      <alignment horizontal="center"/>
    </xf>
    <xf numFmtId="0" fontId="10" fillId="22" borderId="3" xfId="0" applyFont="1" applyFill="1" applyBorder="1" applyAlignment="1">
      <alignment horizontal="center"/>
    </xf>
    <xf numFmtId="0" fontId="37" fillId="2" borderId="0" xfId="0" applyFont="1" applyFill="1" applyAlignment="1">
      <alignment horizontal="center"/>
    </xf>
    <xf numFmtId="1" fontId="26" fillId="0" borderId="0" xfId="0" applyNumberFormat="1" applyFont="1"/>
    <xf numFmtId="165" fontId="26" fillId="0" borderId="0" xfId="0" applyNumberFormat="1" applyFont="1"/>
    <xf numFmtId="2" fontId="26" fillId="0" borderId="0" xfId="0" applyNumberFormat="1" applyFont="1"/>
    <xf numFmtId="1" fontId="49" fillId="0" borderId="0" xfId="0" applyNumberFormat="1" applyFont="1"/>
    <xf numFmtId="2" fontId="49" fillId="0" borderId="0" xfId="0" applyNumberFormat="1" applyFont="1"/>
    <xf numFmtId="1" fontId="9" fillId="0" borderId="0" xfId="0" applyNumberFormat="1" applyFont="1"/>
    <xf numFmtId="0" fontId="10" fillId="22" borderId="20" xfId="0" applyFont="1" applyFill="1" applyBorder="1" applyAlignment="1">
      <alignment horizontal="center"/>
    </xf>
    <xf numFmtId="0" fontId="63" fillId="23" borderId="25" xfId="0" applyFont="1" applyFill="1" applyBorder="1" applyAlignment="1">
      <alignment horizontal="center" vertical="center"/>
    </xf>
    <xf numFmtId="0" fontId="38" fillId="23" borderId="25" xfId="0" applyFont="1" applyFill="1" applyBorder="1" applyAlignment="1">
      <alignment horizontal="center" vertical="center"/>
    </xf>
    <xf numFmtId="0" fontId="63" fillId="23" borderId="25" xfId="0" applyFont="1" applyFill="1" applyBorder="1" applyAlignment="1">
      <alignment horizontal="left" vertical="center"/>
    </xf>
    <xf numFmtId="0" fontId="63" fillId="23" borderId="25" xfId="0" applyFont="1" applyFill="1" applyBorder="1" applyAlignment="1">
      <alignment horizontal="right" vertical="center"/>
    </xf>
    <xf numFmtId="0" fontId="87" fillId="2" borderId="0" xfId="0" applyFont="1" applyFill="1"/>
    <xf numFmtId="0" fontId="60" fillId="24" borderId="0" xfId="3" applyFont="1" applyFill="1" applyAlignment="1">
      <alignment vertical="center"/>
    </xf>
    <xf numFmtId="0" fontId="125" fillId="0" borderId="26" xfId="0" applyFont="1" applyBorder="1" applyAlignment="1">
      <alignment horizontal="right" vertical="center" wrapText="1"/>
    </xf>
    <xf numFmtId="0" fontId="125" fillId="0" borderId="26" xfId="0" applyFont="1" applyBorder="1" applyAlignment="1">
      <alignment vertical="center" wrapText="1"/>
    </xf>
    <xf numFmtId="2" fontId="125" fillId="0" borderId="26" xfId="0" applyNumberFormat="1" applyFont="1" applyBorder="1" applyAlignment="1">
      <alignment horizontal="right" vertical="center" wrapText="1"/>
    </xf>
    <xf numFmtId="0" fontId="125" fillId="0" borderId="0" xfId="0" applyFont="1"/>
    <xf numFmtId="0" fontId="126" fillId="0" borderId="0" xfId="0" applyFont="1"/>
    <xf numFmtId="0" fontId="14" fillId="0" borderId="0" xfId="0" applyFont="1" applyAlignment="1">
      <alignment horizontal="right"/>
    </xf>
    <xf numFmtId="0" fontId="14" fillId="0" borderId="0" xfId="0" applyFont="1" applyAlignment="1">
      <alignment horizontal="left"/>
    </xf>
    <xf numFmtId="2" fontId="49" fillId="0" borderId="21" xfId="0" applyNumberFormat="1" applyFont="1" applyBorder="1" applyAlignment="1">
      <alignment horizontal="right"/>
    </xf>
    <xf numFmtId="2" fontId="48" fillId="0" borderId="21" xfId="0" applyNumberFormat="1" applyFont="1" applyBorder="1" applyAlignment="1">
      <alignment horizontal="right"/>
    </xf>
    <xf numFmtId="2" fontId="132" fillId="0" borderId="21" xfId="0" applyNumberFormat="1" applyFont="1" applyBorder="1" applyAlignment="1">
      <alignment horizontal="right"/>
    </xf>
    <xf numFmtId="166" fontId="132" fillId="0" borderId="0" xfId="0" applyNumberFormat="1" applyFont="1"/>
    <xf numFmtId="0" fontId="11" fillId="0" borderId="0" xfId="0" applyFont="1" applyAlignment="1">
      <alignment horizontal="right"/>
    </xf>
    <xf numFmtId="0" fontId="50" fillId="0" borderId="0" xfId="0" applyFont="1" applyAlignment="1">
      <alignment horizontal="right"/>
    </xf>
    <xf numFmtId="0" fontId="10" fillId="0" borderId="0" xfId="0" applyFont="1" applyAlignment="1">
      <alignment horizontal="left"/>
    </xf>
    <xf numFmtId="0" fontId="48" fillId="0" borderId="0" xfId="0" applyFont="1"/>
    <xf numFmtId="0" fontId="134" fillId="0" borderId="0" xfId="0" applyFont="1"/>
    <xf numFmtId="0" fontId="137" fillId="0" borderId="0" xfId="0" applyFont="1" applyAlignment="1">
      <alignment horizontal="left"/>
    </xf>
    <xf numFmtId="0" fontId="140" fillId="0" borderId="0" xfId="0" applyFont="1"/>
    <xf numFmtId="165" fontId="13" fillId="0" borderId="0" xfId="0" applyNumberFormat="1" applyFont="1"/>
    <xf numFmtId="0" fontId="141" fillId="0" borderId="0" xfId="0" applyFont="1" applyAlignment="1">
      <alignment horizontal="center" vertical="center" wrapText="1"/>
    </xf>
    <xf numFmtId="2" fontId="9" fillId="0" borderId="28" xfId="0" applyNumberFormat="1" applyFont="1" applyBorder="1" applyAlignment="1">
      <alignment horizontal="right" vertical="center" wrapText="1"/>
    </xf>
    <xf numFmtId="2" fontId="9" fillId="0" borderId="30" xfId="0" applyNumberFormat="1" applyFont="1" applyBorder="1" applyAlignment="1">
      <alignment horizontal="right" vertical="center" wrapText="1"/>
    </xf>
    <xf numFmtId="2" fontId="9" fillId="0" borderId="31" xfId="0" applyNumberFormat="1" applyFont="1" applyBorder="1" applyAlignment="1">
      <alignment horizontal="right" vertical="center" wrapText="1"/>
    </xf>
    <xf numFmtId="2" fontId="9" fillId="0" borderId="21" xfId="0" applyNumberFormat="1" applyFont="1" applyBorder="1" applyAlignment="1">
      <alignment horizontal="right" vertical="center" wrapText="1"/>
    </xf>
    <xf numFmtId="0" fontId="24" fillId="25" borderId="0" xfId="0" applyFont="1" applyFill="1"/>
    <xf numFmtId="3" fontId="9" fillId="0" borderId="0" xfId="0" applyNumberFormat="1" applyFont="1"/>
    <xf numFmtId="3" fontId="9" fillId="24" borderId="0" xfId="0" applyNumberFormat="1" applyFont="1" applyFill="1"/>
    <xf numFmtId="9" fontId="9" fillId="0" borderId="0" xfId="0" applyNumberFormat="1" applyFont="1" applyAlignment="1">
      <alignment horizontal="center"/>
    </xf>
    <xf numFmtId="169" fontId="9" fillId="0" borderId="0" xfId="1" applyNumberFormat="1" applyFont="1" applyAlignment="1">
      <alignment horizontal="center"/>
    </xf>
    <xf numFmtId="169" fontId="9" fillId="0" borderId="0" xfId="0" applyNumberFormat="1" applyFont="1" applyAlignment="1">
      <alignment horizontal="center"/>
    </xf>
    <xf numFmtId="0" fontId="12" fillId="26" borderId="0" xfId="0" applyFont="1" applyFill="1"/>
    <xf numFmtId="0" fontId="9" fillId="26" borderId="0" xfId="0" applyFont="1" applyFill="1"/>
    <xf numFmtId="3" fontId="9" fillId="26" borderId="0" xfId="0" applyNumberFormat="1" applyFont="1" applyFill="1"/>
    <xf numFmtId="9" fontId="9" fillId="26" borderId="0" xfId="1" applyFont="1" applyFill="1" applyAlignment="1">
      <alignment horizontal="center"/>
    </xf>
    <xf numFmtId="9" fontId="9" fillId="26" borderId="0" xfId="0" applyNumberFormat="1" applyFont="1" applyFill="1" applyAlignment="1">
      <alignment horizontal="center"/>
    </xf>
    <xf numFmtId="169" fontId="9" fillId="26" borderId="0" xfId="1" applyNumberFormat="1" applyFont="1" applyFill="1" applyAlignment="1">
      <alignment horizontal="center"/>
    </xf>
    <xf numFmtId="0" fontId="9" fillId="26" borderId="0" xfId="0" applyFont="1" applyFill="1" applyAlignment="1">
      <alignment horizontal="center"/>
    </xf>
    <xf numFmtId="0" fontId="21" fillId="26" borderId="0" xfId="3" applyFont="1" applyFill="1"/>
    <xf numFmtId="0" fontId="41" fillId="26" borderId="0" xfId="0" applyFont="1" applyFill="1"/>
    <xf numFmtId="9" fontId="9" fillId="0" borderId="0" xfId="1" applyFont="1" applyFill="1" applyAlignment="1">
      <alignment horizontal="center"/>
    </xf>
    <xf numFmtId="169" fontId="9" fillId="0" borderId="0" xfId="1" applyNumberFormat="1" applyFont="1" applyFill="1" applyAlignment="1">
      <alignment horizontal="center"/>
    </xf>
    <xf numFmtId="0" fontId="13" fillId="0" borderId="51" xfId="0" applyFont="1" applyBorder="1" applyAlignment="1">
      <alignment vertical="center" wrapText="1"/>
    </xf>
    <xf numFmtId="2" fontId="54" fillId="0" borderId="51" xfId="0" applyNumberFormat="1" applyFont="1" applyBorder="1" applyAlignment="1">
      <alignment horizontal="right" vertical="center" wrapText="1"/>
    </xf>
    <xf numFmtId="2" fontId="54" fillId="24" borderId="26" xfId="0" applyNumberFormat="1" applyFont="1" applyFill="1" applyBorder="1" applyAlignment="1">
      <alignment horizontal="right" vertical="center" wrapText="1"/>
    </xf>
    <xf numFmtId="0" fontId="32" fillId="0" borderId="0" xfId="0" applyFont="1" applyAlignment="1">
      <alignment horizontal="center"/>
    </xf>
    <xf numFmtId="167" fontId="32" fillId="0" borderId="0" xfId="4" applyNumberFormat="1" applyFont="1" applyAlignment="1">
      <alignment horizontal="center"/>
    </xf>
    <xf numFmtId="167" fontId="9" fillId="0" borderId="0" xfId="4" applyNumberFormat="1" applyFont="1"/>
    <xf numFmtId="165" fontId="0" fillId="0" borderId="0" xfId="0" applyNumberFormat="1"/>
    <xf numFmtId="1" fontId="0" fillId="0" borderId="0" xfId="0" applyNumberFormat="1"/>
    <xf numFmtId="166" fontId="9" fillId="0" borderId="0" xfId="0" applyNumberFormat="1" applyFont="1"/>
    <xf numFmtId="8" fontId="0" fillId="0" borderId="0" xfId="0" applyNumberFormat="1"/>
    <xf numFmtId="0" fontId="60" fillId="25" borderId="0" xfId="3" applyFont="1" applyFill="1" applyAlignment="1">
      <alignment vertical="center"/>
    </xf>
    <xf numFmtId="0" fontId="62" fillId="25" borderId="0" xfId="0" applyFont="1" applyFill="1"/>
    <xf numFmtId="0" fontId="9" fillId="24" borderId="0" xfId="0" applyFont="1" applyFill="1"/>
    <xf numFmtId="3" fontId="10" fillId="24" borderId="21" xfId="0" applyNumberFormat="1" applyFont="1" applyFill="1" applyBorder="1"/>
    <xf numFmtId="0" fontId="10" fillId="26" borderId="0" xfId="0" applyFont="1" applyFill="1" applyAlignment="1">
      <alignment horizontal="center"/>
    </xf>
    <xf numFmtId="0" fontId="9" fillId="0" borderId="26" xfId="0" applyFont="1" applyBorder="1" applyAlignment="1">
      <alignment vertical="center" wrapText="1"/>
    </xf>
    <xf numFmtId="2" fontId="9" fillId="0" borderId="26" xfId="0" applyNumberFormat="1" applyFont="1" applyBorder="1" applyAlignment="1">
      <alignment horizontal="right" vertical="center" wrapText="1"/>
    </xf>
    <xf numFmtId="167" fontId="9" fillId="0" borderId="0" xfId="4" applyNumberFormat="1" applyFont="1" applyFill="1"/>
    <xf numFmtId="164" fontId="9" fillId="0" borderId="0" xfId="0" applyNumberFormat="1" applyFont="1" applyAlignment="1">
      <alignment horizontal="right"/>
    </xf>
    <xf numFmtId="167" fontId="9" fillId="26" borderId="0" xfId="4" applyNumberFormat="1" applyFont="1" applyFill="1"/>
    <xf numFmtId="164" fontId="13" fillId="26" borderId="0" xfId="0" applyNumberFormat="1" applyFont="1" applyFill="1"/>
    <xf numFmtId="164" fontId="9" fillId="26" borderId="0" xfId="0" applyNumberFormat="1" applyFont="1" applyFill="1" applyAlignment="1">
      <alignment horizontal="right"/>
    </xf>
    <xf numFmtId="0" fontId="63" fillId="17" borderId="25" xfId="0" applyFont="1" applyFill="1" applyBorder="1" applyAlignment="1">
      <alignment horizontal="center" vertical="center"/>
    </xf>
    <xf numFmtId="170" fontId="9" fillId="16" borderId="0" xfId="0" applyNumberFormat="1" applyFont="1" applyFill="1"/>
    <xf numFmtId="0" fontId="142" fillId="0" borderId="0" xfId="0" applyFont="1"/>
    <xf numFmtId="0" fontId="141" fillId="0" borderId="0" xfId="0" applyFont="1"/>
    <xf numFmtId="0" fontId="0" fillId="7" borderId="0" xfId="0" applyFill="1"/>
    <xf numFmtId="2" fontId="9" fillId="26" borderId="0" xfId="0" applyNumberFormat="1" applyFont="1" applyFill="1" applyAlignment="1">
      <alignment horizontal="center"/>
    </xf>
    <xf numFmtId="0" fontId="10" fillId="26" borderId="0" xfId="0" applyFont="1" applyFill="1"/>
    <xf numFmtId="2" fontId="10" fillId="26" borderId="0" xfId="0" applyNumberFormat="1" applyFont="1" applyFill="1" applyAlignment="1">
      <alignment horizontal="center"/>
    </xf>
    <xf numFmtId="0" fontId="119" fillId="0" borderId="26" xfId="0" applyFont="1" applyBorder="1" applyAlignment="1">
      <alignment horizontal="center" vertical="center" wrapText="1"/>
    </xf>
    <xf numFmtId="0" fontId="13" fillId="0" borderId="26" xfId="0" applyFont="1" applyBorder="1" applyAlignment="1">
      <alignment horizontal="center" vertical="center" wrapText="1"/>
    </xf>
    <xf numFmtId="0" fontId="54" fillId="0" borderId="26" xfId="0" applyFont="1" applyBorder="1" applyAlignment="1">
      <alignment horizontal="center" vertical="center" wrapText="1"/>
    </xf>
    <xf numFmtId="0" fontId="125" fillId="0" borderId="26" xfId="0" applyFont="1" applyBorder="1" applyAlignment="1">
      <alignment horizontal="center" vertical="center" wrapText="1"/>
    </xf>
    <xf numFmtId="43" fontId="0" fillId="0" borderId="0" xfId="4" applyFont="1"/>
    <xf numFmtId="0" fontId="63" fillId="20" borderId="46" xfId="0" applyFont="1" applyFill="1" applyBorder="1" applyAlignment="1">
      <alignment horizontal="center" vertical="center"/>
    </xf>
    <xf numFmtId="0" fontId="87" fillId="0" borderId="0" xfId="0" applyFont="1" applyAlignment="1">
      <alignment horizontal="center"/>
    </xf>
    <xf numFmtId="167" fontId="87" fillId="0" borderId="0" xfId="4" applyNumberFormat="1" applyFont="1" applyAlignment="1">
      <alignment horizontal="center"/>
    </xf>
    <xf numFmtId="9" fontId="87" fillId="0" borderId="0" xfId="1" applyFont="1" applyAlignment="1">
      <alignment horizontal="center"/>
    </xf>
    <xf numFmtId="3" fontId="9" fillId="0" borderId="0" xfId="0" applyNumberFormat="1" applyFont="1" applyAlignment="1">
      <alignment horizontal="center"/>
    </xf>
    <xf numFmtId="0" fontId="68" fillId="0" borderId="0" xfId="0" applyFont="1" applyAlignment="1">
      <alignment horizontal="left"/>
    </xf>
    <xf numFmtId="3" fontId="0" fillId="0" borderId="0" xfId="0" applyNumberFormat="1"/>
    <xf numFmtId="0" fontId="0" fillId="0" borderId="0" xfId="0" applyAlignment="1">
      <alignment horizontal="center"/>
    </xf>
    <xf numFmtId="0" fontId="12" fillId="7" borderId="0" xfId="0" applyFont="1" applyFill="1" applyAlignment="1">
      <alignment horizontal="center"/>
    </xf>
    <xf numFmtId="0" fontId="87" fillId="2" borderId="4" xfId="0" applyFont="1" applyFill="1" applyBorder="1" applyAlignment="1">
      <alignment horizontal="left"/>
    </xf>
    <xf numFmtId="9" fontId="87" fillId="2" borderId="4" xfId="1" applyFont="1" applyFill="1" applyBorder="1" applyAlignment="1">
      <alignment horizontal="center"/>
    </xf>
    <xf numFmtId="0" fontId="115" fillId="2" borderId="4" xfId="0" applyFont="1" applyFill="1" applyBorder="1" applyAlignment="1">
      <alignment horizontal="center"/>
    </xf>
    <xf numFmtId="0" fontId="35" fillId="19" borderId="0" xfId="0" applyFont="1" applyFill="1" applyAlignment="1">
      <alignment horizontal="center" vertical="center"/>
    </xf>
    <xf numFmtId="0" fontId="9" fillId="0" borderId="0" xfId="2" applyFont="1" applyAlignment="1">
      <alignment horizontal="center" vertical="center"/>
    </xf>
    <xf numFmtId="0" fontId="15" fillId="0" borderId="0" xfId="0" applyFont="1" applyAlignment="1">
      <alignment horizontal="center" vertical="center"/>
    </xf>
    <xf numFmtId="0" fontId="26" fillId="2" borderId="7" xfId="0" applyFont="1" applyFill="1" applyBorder="1" applyAlignment="1">
      <alignment horizontal="center"/>
    </xf>
    <xf numFmtId="0" fontId="13" fillId="2" borderId="4" xfId="0" applyFont="1" applyFill="1" applyBorder="1" applyAlignment="1">
      <alignment horizontal="center"/>
    </xf>
    <xf numFmtId="167" fontId="126" fillId="2" borderId="4" xfId="4" applyNumberFormat="1" applyFont="1" applyFill="1" applyBorder="1" applyAlignment="1">
      <alignment horizontal="center"/>
    </xf>
    <xf numFmtId="0" fontId="25" fillId="0" borderId="0" xfId="0" applyFont="1" applyAlignment="1">
      <alignment horizontal="center"/>
    </xf>
    <xf numFmtId="0" fontId="29" fillId="2" borderId="7" xfId="0" applyFont="1" applyFill="1" applyBorder="1" applyAlignment="1">
      <alignment horizontal="left"/>
    </xf>
    <xf numFmtId="167" fontId="126" fillId="2" borderId="4" xfId="4" applyNumberFormat="1" applyFont="1" applyFill="1" applyBorder="1" applyAlignment="1"/>
    <xf numFmtId="0" fontId="10" fillId="0" borderId="52" xfId="0" applyFont="1" applyBorder="1"/>
    <xf numFmtId="0" fontId="0" fillId="0" borderId="46" xfId="0" applyBorder="1" applyAlignment="1">
      <alignment horizontal="center"/>
    </xf>
    <xf numFmtId="0" fontId="0" fillId="0" borderId="53" xfId="0" applyBorder="1"/>
    <xf numFmtId="0" fontId="13" fillId="0" borderId="54" xfId="0" applyFont="1" applyBorder="1" applyAlignment="1">
      <alignment horizontal="left"/>
    </xf>
    <xf numFmtId="0" fontId="115" fillId="0" borderId="55" xfId="0" applyFont="1" applyBorder="1" applyAlignment="1">
      <alignment horizontal="center"/>
    </xf>
    <xf numFmtId="0" fontId="13" fillId="0" borderId="56" xfId="0" applyFont="1" applyBorder="1" applyAlignment="1">
      <alignment horizontal="left"/>
    </xf>
    <xf numFmtId="0" fontId="20" fillId="0" borderId="0" xfId="0" applyFont="1" applyAlignment="1">
      <alignment horizontal="center"/>
    </xf>
    <xf numFmtId="0" fontId="20" fillId="2" borderId="0" xfId="0" applyFont="1" applyFill="1" applyAlignment="1">
      <alignment horizontal="center"/>
    </xf>
    <xf numFmtId="3" fontId="14" fillId="2" borderId="0" xfId="0" applyNumberFormat="1" applyFont="1" applyFill="1" applyAlignment="1">
      <alignment horizontal="center"/>
    </xf>
    <xf numFmtId="9" fontId="41" fillId="0" borderId="0" xfId="1" applyFont="1" applyAlignment="1">
      <alignment horizontal="center"/>
    </xf>
    <xf numFmtId="3" fontId="41" fillId="26" borderId="0" xfId="0" applyNumberFormat="1" applyFont="1" applyFill="1"/>
    <xf numFmtId="3" fontId="143" fillId="0" borderId="0" xfId="0" applyNumberFormat="1" applyFont="1"/>
    <xf numFmtId="167" fontId="13" fillId="0" borderId="0" xfId="4" applyNumberFormat="1" applyFont="1" applyFill="1" applyBorder="1" applyAlignment="1">
      <alignment horizontal="center"/>
    </xf>
    <xf numFmtId="0" fontId="3" fillId="0" borderId="55" xfId="0" applyFont="1" applyBorder="1"/>
    <xf numFmtId="9" fontId="104" fillId="0" borderId="55" xfId="1" applyFont="1" applyFill="1" applyBorder="1" applyAlignment="1">
      <alignment horizontal="center"/>
    </xf>
    <xf numFmtId="167" fontId="13" fillId="0" borderId="47" xfId="4" applyNumberFormat="1" applyFont="1" applyFill="1" applyBorder="1" applyAlignment="1">
      <alignment horizontal="center"/>
    </xf>
    <xf numFmtId="0" fontId="3" fillId="0" borderId="24" xfId="0" applyFont="1" applyBorder="1"/>
    <xf numFmtId="9" fontId="144" fillId="0" borderId="55" xfId="1" applyFont="1" applyFill="1" applyBorder="1" applyAlignment="1">
      <alignment horizontal="center"/>
    </xf>
    <xf numFmtId="0" fontId="145" fillId="0" borderId="0" xfId="0" applyFont="1"/>
    <xf numFmtId="0" fontId="63" fillId="20" borderId="46" xfId="0" applyFont="1" applyFill="1" applyBorder="1" applyAlignment="1">
      <alignment vertical="center"/>
    </xf>
    <xf numFmtId="3" fontId="146" fillId="20" borderId="47" xfId="4" applyNumberFormat="1" applyFont="1" applyFill="1" applyBorder="1" applyAlignment="1">
      <alignment horizontal="center" vertical="center"/>
    </xf>
    <xf numFmtId="1" fontId="9" fillId="0" borderId="0" xfId="0" applyNumberFormat="1" applyFont="1" applyAlignment="1">
      <alignment horizontal="center"/>
    </xf>
    <xf numFmtId="3" fontId="9" fillId="0" borderId="47" xfId="0" applyNumberFormat="1" applyFont="1" applyBorder="1" applyAlignment="1">
      <alignment horizontal="center" vertical="center"/>
    </xf>
    <xf numFmtId="167" fontId="126" fillId="2" borderId="12" xfId="4" applyNumberFormat="1" applyFont="1" applyFill="1" applyBorder="1" applyAlignment="1">
      <alignment horizontal="center"/>
    </xf>
    <xf numFmtId="0" fontId="10" fillId="7" borderId="0" xfId="0" applyFont="1" applyFill="1" applyAlignment="1">
      <alignment horizontal="center"/>
    </xf>
    <xf numFmtId="0" fontId="10" fillId="0" borderId="47" xfId="0" applyFont="1" applyBorder="1" applyAlignment="1">
      <alignment horizontal="left" vertical="center"/>
    </xf>
    <xf numFmtId="167" fontId="126" fillId="0" borderId="0" xfId="4" applyNumberFormat="1" applyFont="1" applyFill="1" applyBorder="1" applyAlignment="1">
      <alignment horizontal="center"/>
    </xf>
    <xf numFmtId="0" fontId="41" fillId="0" borderId="0" xfId="0" applyFont="1" applyAlignment="1">
      <alignment horizontal="right"/>
    </xf>
    <xf numFmtId="167" fontId="122" fillId="0" borderId="0" xfId="4" applyNumberFormat="1" applyFont="1" applyFill="1" applyBorder="1" applyAlignment="1">
      <alignment horizontal="center"/>
    </xf>
    <xf numFmtId="0" fontId="147" fillId="20" borderId="46" xfId="0" applyFont="1" applyFill="1" applyBorder="1" applyAlignment="1">
      <alignment horizontal="center" vertical="center"/>
    </xf>
    <xf numFmtId="3" fontId="146" fillId="0" borderId="47" xfId="4" applyNumberFormat="1" applyFont="1" applyFill="1" applyBorder="1" applyAlignment="1">
      <alignment horizontal="center" vertical="center"/>
    </xf>
    <xf numFmtId="3" fontId="146" fillId="0" borderId="0" xfId="4" applyNumberFormat="1" applyFont="1" applyFill="1" applyBorder="1" applyAlignment="1">
      <alignment horizontal="center" vertical="center"/>
    </xf>
    <xf numFmtId="0" fontId="147" fillId="20" borderId="47" xfId="0" applyFont="1" applyFill="1" applyBorder="1" applyAlignment="1">
      <alignment horizontal="center" vertical="center"/>
    </xf>
    <xf numFmtId="0" fontId="104" fillId="2" borderId="7" xfId="0" applyFont="1" applyFill="1" applyBorder="1"/>
    <xf numFmtId="0" fontId="104" fillId="2" borderId="11" xfId="0" applyFont="1" applyFill="1" applyBorder="1"/>
    <xf numFmtId="0" fontId="105" fillId="2" borderId="4" xfId="0" applyFont="1" applyFill="1" applyBorder="1"/>
    <xf numFmtId="0" fontId="105" fillId="2" borderId="11" xfId="0" applyFont="1" applyFill="1" applyBorder="1"/>
    <xf numFmtId="169" fontId="37" fillId="0" borderId="0" xfId="1" applyNumberFormat="1" applyFont="1"/>
    <xf numFmtId="0" fontId="119" fillId="0" borderId="0" xfId="0" applyFont="1" applyAlignment="1">
      <alignment horizontal="center"/>
    </xf>
    <xf numFmtId="0" fontId="148" fillId="0" borderId="0" xfId="0" applyFont="1"/>
    <xf numFmtId="3" fontId="119" fillId="0" borderId="21" xfId="0" applyNumberFormat="1" applyFont="1" applyBorder="1"/>
    <xf numFmtId="0" fontId="151" fillId="0" borderId="0" xfId="0" applyFont="1"/>
    <xf numFmtId="168" fontId="119" fillId="0" borderId="0" xfId="0" applyNumberFormat="1" applyFont="1"/>
    <xf numFmtId="0" fontId="38" fillId="0" borderId="0" xfId="0" applyFont="1"/>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right" vertical="center"/>
    </xf>
    <xf numFmtId="3" fontId="119" fillId="0" borderId="0" xfId="0" applyNumberFormat="1" applyFont="1" applyAlignment="1">
      <alignment horizontal="center"/>
    </xf>
    <xf numFmtId="6" fontId="119" fillId="0" borderId="0" xfId="0" applyNumberFormat="1" applyFont="1" applyAlignment="1">
      <alignment horizontal="center"/>
    </xf>
    <xf numFmtId="3" fontId="9" fillId="0" borderId="0" xfId="0" quotePrefix="1" applyNumberFormat="1" applyFont="1"/>
    <xf numFmtId="0" fontId="12" fillId="9" borderId="1" xfId="0" applyFont="1" applyFill="1" applyBorder="1" applyAlignment="1">
      <alignment horizontal="center"/>
    </xf>
    <xf numFmtId="0" fontId="12" fillId="9" borderId="3" xfId="0" applyFont="1" applyFill="1" applyBorder="1" applyAlignment="1">
      <alignment horizontal="center"/>
    </xf>
    <xf numFmtId="0" fontId="12" fillId="9" borderId="2" xfId="0" applyFont="1" applyFill="1" applyBorder="1" applyAlignment="1">
      <alignment horizontal="center"/>
    </xf>
    <xf numFmtId="0" fontId="12" fillId="10" borderId="1" xfId="0" applyFont="1" applyFill="1" applyBorder="1" applyAlignment="1">
      <alignment horizontal="center"/>
    </xf>
    <xf numFmtId="0" fontId="12" fillId="10" borderId="3" xfId="0" applyFont="1" applyFill="1" applyBorder="1" applyAlignment="1">
      <alignment horizontal="center"/>
    </xf>
    <xf numFmtId="0" fontId="12" fillId="10" borderId="2" xfId="0" applyFont="1" applyFill="1" applyBorder="1" applyAlignment="1">
      <alignment horizontal="center"/>
    </xf>
    <xf numFmtId="0" fontId="113" fillId="12" borderId="1" xfId="0" applyFont="1" applyFill="1" applyBorder="1" applyAlignment="1">
      <alignment horizontal="center"/>
    </xf>
    <xf numFmtId="0" fontId="113" fillId="12" borderId="3" xfId="0" applyFont="1" applyFill="1" applyBorder="1" applyAlignment="1">
      <alignment horizontal="center"/>
    </xf>
    <xf numFmtId="0" fontId="113" fillId="12" borderId="2" xfId="0" applyFont="1" applyFill="1" applyBorder="1" applyAlignment="1">
      <alignment horizontal="center"/>
    </xf>
    <xf numFmtId="0" fontId="36" fillId="8" borderId="1" xfId="0" applyFont="1" applyFill="1" applyBorder="1" applyAlignment="1">
      <alignment horizontal="center"/>
    </xf>
    <xf numFmtId="0" fontId="36" fillId="8" borderId="3" xfId="0" applyFont="1" applyFill="1" applyBorder="1" applyAlignment="1">
      <alignment horizontal="center"/>
    </xf>
    <xf numFmtId="0" fontId="36" fillId="8" borderId="2" xfId="0" applyFont="1" applyFill="1" applyBorder="1" applyAlignment="1">
      <alignment horizontal="center"/>
    </xf>
    <xf numFmtId="0" fontId="12" fillId="21" borderId="1" xfId="0" applyFont="1" applyFill="1" applyBorder="1" applyAlignment="1">
      <alignment horizontal="center"/>
    </xf>
    <xf numFmtId="0" fontId="12" fillId="21" borderId="3" xfId="0" applyFont="1" applyFill="1" applyBorder="1" applyAlignment="1">
      <alignment horizontal="center"/>
    </xf>
    <xf numFmtId="0" fontId="12" fillId="5" borderId="1" xfId="0" applyFont="1" applyFill="1" applyBorder="1" applyAlignment="1">
      <alignment horizontal="center"/>
    </xf>
    <xf numFmtId="0" fontId="12" fillId="5" borderId="3" xfId="0" applyFont="1" applyFill="1" applyBorder="1" applyAlignment="1">
      <alignment horizontal="center"/>
    </xf>
    <xf numFmtId="0" fontId="66" fillId="21" borderId="8" xfId="0" applyFont="1" applyFill="1" applyBorder="1" applyAlignment="1">
      <alignment horizontal="center" wrapText="1"/>
    </xf>
    <xf numFmtId="0" fontId="66" fillId="21" borderId="12" xfId="0" applyFont="1" applyFill="1" applyBorder="1" applyAlignment="1">
      <alignment horizontal="center" wrapText="1"/>
    </xf>
    <xf numFmtId="0" fontId="66" fillId="5" borderId="8" xfId="0" applyFont="1" applyFill="1" applyBorder="1" applyAlignment="1">
      <alignment horizontal="center" wrapText="1"/>
    </xf>
    <xf numFmtId="0" fontId="66" fillId="5" borderId="12" xfId="0" applyFont="1" applyFill="1" applyBorder="1" applyAlignment="1">
      <alignment horizontal="center" wrapText="1"/>
    </xf>
    <xf numFmtId="0" fontId="63" fillId="0" borderId="0" xfId="0" applyFont="1" applyAlignment="1">
      <alignment horizontal="left" vertical="center"/>
    </xf>
    <xf numFmtId="0" fontId="63" fillId="0" borderId="0" xfId="0" applyFont="1" applyAlignment="1">
      <alignment horizontal="center" vertical="center"/>
    </xf>
    <xf numFmtId="0" fontId="63" fillId="20" borderId="46" xfId="0" applyFont="1" applyFill="1" applyBorder="1" applyAlignment="1">
      <alignment horizontal="left" vertical="center"/>
    </xf>
    <xf numFmtId="0" fontId="63" fillId="20" borderId="47" xfId="0" applyFont="1" applyFill="1" applyBorder="1" applyAlignment="1">
      <alignment horizontal="left" vertical="center"/>
    </xf>
    <xf numFmtId="0" fontId="63" fillId="20" borderId="46" xfId="0" applyFont="1" applyFill="1" applyBorder="1" applyAlignment="1">
      <alignment horizontal="center" vertical="center"/>
    </xf>
    <xf numFmtId="0" fontId="61" fillId="12" borderId="4" xfId="0" applyFont="1" applyFill="1" applyBorder="1" applyAlignment="1">
      <alignment horizontal="center"/>
    </xf>
    <xf numFmtId="0" fontId="61" fillId="12" borderId="0" xfId="0" applyFont="1" applyFill="1" applyAlignment="1">
      <alignment horizontal="center"/>
    </xf>
    <xf numFmtId="0" fontId="37" fillId="8" borderId="1" xfId="0" applyFont="1" applyFill="1" applyBorder="1" applyAlignment="1">
      <alignment horizontal="center"/>
    </xf>
    <xf numFmtId="0" fontId="37" fillId="8" borderId="3" xfId="0" applyFont="1" applyFill="1" applyBorder="1" applyAlignment="1">
      <alignment horizontal="center"/>
    </xf>
    <xf numFmtId="0" fontId="91" fillId="9" borderId="1" xfId="0" applyFont="1" applyFill="1" applyBorder="1" applyAlignment="1">
      <alignment horizontal="center"/>
    </xf>
    <xf numFmtId="0" fontId="91" fillId="9" borderId="3" xfId="0" applyFont="1" applyFill="1" applyBorder="1" applyAlignment="1">
      <alignment horizontal="center"/>
    </xf>
    <xf numFmtId="0" fontId="91" fillId="9" borderId="2" xfId="0" applyFont="1" applyFill="1" applyBorder="1" applyAlignment="1">
      <alignment horizontal="center"/>
    </xf>
    <xf numFmtId="0" fontId="91" fillId="22" borderId="1" xfId="0" applyFont="1" applyFill="1" applyBorder="1" applyAlignment="1">
      <alignment horizontal="left"/>
    </xf>
    <xf numFmtId="0" fontId="91" fillId="22" borderId="3" xfId="0" applyFont="1" applyFill="1" applyBorder="1" applyAlignment="1">
      <alignment horizontal="left"/>
    </xf>
    <xf numFmtId="0" fontId="91" fillId="22" borderId="2" xfId="0" applyFont="1" applyFill="1" applyBorder="1" applyAlignment="1">
      <alignment horizontal="left"/>
    </xf>
    <xf numFmtId="0" fontId="13" fillId="2" borderId="4" xfId="0" applyFont="1" applyFill="1" applyBorder="1" applyAlignment="1">
      <alignment horizontal="left"/>
    </xf>
    <xf numFmtId="0" fontId="13" fillId="2" borderId="0" xfId="0" applyFont="1" applyFill="1" applyAlignment="1">
      <alignment horizontal="left"/>
    </xf>
    <xf numFmtId="0" fontId="13" fillId="2" borderId="18" xfId="0" applyFont="1" applyFill="1" applyBorder="1" applyAlignment="1">
      <alignment horizontal="left"/>
    </xf>
    <xf numFmtId="0" fontId="27" fillId="2" borderId="7" xfId="0" applyFont="1" applyFill="1" applyBorder="1" applyAlignment="1">
      <alignment horizontal="left"/>
    </xf>
    <xf numFmtId="0" fontId="27" fillId="2" borderId="5" xfId="0" applyFont="1" applyFill="1" applyBorder="1" applyAlignment="1">
      <alignment horizontal="left"/>
    </xf>
    <xf numFmtId="0" fontId="27" fillId="2" borderId="20" xfId="0" applyFont="1" applyFill="1" applyBorder="1" applyAlignment="1">
      <alignment horizontal="left"/>
    </xf>
    <xf numFmtId="0" fontId="89" fillId="22" borderId="1" xfId="0" applyFont="1" applyFill="1" applyBorder="1" applyAlignment="1">
      <alignment horizontal="left"/>
    </xf>
    <xf numFmtId="0" fontId="89" fillId="22" borderId="3" xfId="0" applyFont="1" applyFill="1" applyBorder="1" applyAlignment="1">
      <alignment horizontal="left"/>
    </xf>
    <xf numFmtId="0" fontId="89" fillId="22" borderId="2" xfId="0" applyFont="1" applyFill="1" applyBorder="1" applyAlignment="1">
      <alignment horizontal="left"/>
    </xf>
    <xf numFmtId="0" fontId="13" fillId="2" borderId="11" xfId="0" applyFont="1" applyFill="1" applyBorder="1" applyAlignment="1">
      <alignment horizontal="left"/>
    </xf>
    <xf numFmtId="0" fontId="13" fillId="2" borderId="13" xfId="0" applyFont="1" applyFill="1" applyBorder="1" applyAlignment="1">
      <alignment horizontal="left"/>
    </xf>
    <xf numFmtId="0" fontId="13" fillId="2" borderId="19" xfId="0" applyFont="1" applyFill="1" applyBorder="1" applyAlignment="1">
      <alignment horizontal="left"/>
    </xf>
    <xf numFmtId="0" fontId="12" fillId="10" borderId="4" xfId="0" applyFont="1" applyFill="1" applyBorder="1" applyAlignment="1">
      <alignment horizontal="center"/>
    </xf>
    <xf numFmtId="0" fontId="12" fillId="10" borderId="0" xfId="0" applyFont="1" applyFill="1" applyAlignment="1">
      <alignment horizontal="center"/>
    </xf>
    <xf numFmtId="0" fontId="61" fillId="12" borderId="18" xfId="0" applyFont="1" applyFill="1" applyBorder="1" applyAlignment="1">
      <alignment horizontal="center"/>
    </xf>
    <xf numFmtId="0" fontId="38" fillId="0" borderId="0" xfId="0" applyFont="1" applyAlignment="1">
      <alignment horizontal="left" vertical="center"/>
    </xf>
    <xf numFmtId="0" fontId="119" fillId="0" borderId="0" xfId="0" applyFont="1" applyAlignment="1">
      <alignment horizontal="left"/>
    </xf>
    <xf numFmtId="0" fontId="37" fillId="16" borderId="35" xfId="0" applyFont="1" applyFill="1" applyBorder="1" applyAlignment="1">
      <alignment horizontal="center" vertical="center"/>
    </xf>
    <xf numFmtId="0" fontId="37" fillId="16" borderId="40" xfId="0" applyFont="1" applyFill="1" applyBorder="1" applyAlignment="1">
      <alignment horizontal="center" vertical="center"/>
    </xf>
    <xf numFmtId="0" fontId="37" fillId="16" borderId="39" xfId="0" applyFont="1" applyFill="1" applyBorder="1" applyAlignment="1">
      <alignment horizontal="center" vertical="center"/>
    </xf>
    <xf numFmtId="0" fontId="37" fillId="16" borderId="36" xfId="0" applyFont="1" applyFill="1" applyBorder="1" applyAlignment="1">
      <alignment horizontal="center" vertical="center"/>
    </xf>
    <xf numFmtId="0" fontId="65" fillId="18" borderId="39" xfId="0" applyFont="1" applyFill="1" applyBorder="1" applyAlignment="1">
      <alignment horizontal="center" vertical="center"/>
    </xf>
    <xf numFmtId="0" fontId="65" fillId="18" borderId="36" xfId="0" applyFont="1" applyFill="1" applyBorder="1" applyAlignment="1">
      <alignment horizontal="center" vertical="center"/>
    </xf>
    <xf numFmtId="0" fontId="65" fillId="18" borderId="35" xfId="0" applyFont="1" applyFill="1" applyBorder="1" applyAlignment="1">
      <alignment horizontal="center" vertical="center"/>
    </xf>
    <xf numFmtId="0" fontId="65" fillId="18" borderId="40" xfId="0" applyFont="1" applyFill="1" applyBorder="1" applyAlignment="1">
      <alignment horizontal="center" vertical="center"/>
    </xf>
  </cellXfs>
  <cellStyles count="5">
    <cellStyle name="Comma" xfId="4" builtinId="3"/>
    <cellStyle name="Hyperlink" xfId="3" builtinId="8"/>
    <cellStyle name="Normal" xfId="0" builtinId="0"/>
    <cellStyle name="Normal 4" xfId="2" xr:uid="{0EC5C2E0-6DCC-4737-87AE-B08C64766A0F}"/>
    <cellStyle name="Percent" xfId="1" builtinId="5"/>
  </cellStyles>
  <dxfs count="0"/>
  <tableStyles count="0" defaultTableStyle="TableStyleMedium2" defaultPivotStyle="PivotStyleLight16"/>
  <colors>
    <mruColors>
      <color rgb="FF156082"/>
      <color rgb="FFF8F8F8"/>
      <color rgb="FFFF7C80"/>
      <color rgb="FF00FFCC"/>
      <color rgb="FF00FFFF"/>
      <color rgb="FFFF9900"/>
      <color rgb="FF00CC99"/>
      <color rgb="FF66FFFF"/>
      <color rgb="FF33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123825</xdr:rowOff>
    </xdr:to>
    <xdr:sp macro="" textlink="">
      <xdr:nvSpPr>
        <xdr:cNvPr id="2" name="Rectangle 1">
          <a:extLst>
            <a:ext uri="{FF2B5EF4-FFF2-40B4-BE49-F238E27FC236}">
              <a16:creationId xmlns:a16="http://schemas.microsoft.com/office/drawing/2014/main" id="{8DA880E6-F2A4-4573-B046-3FC0B533A101}"/>
            </a:ext>
          </a:extLst>
        </xdr:cNvPr>
        <xdr:cNvSpPr>
          <a:spLocks noChangeArrowheads="1"/>
        </xdr:cNvSpPr>
      </xdr:nvSpPr>
      <xdr:spPr bwMode="auto">
        <a:xfrm>
          <a:off x="0" y="0"/>
          <a:ext cx="13373100" cy="933450"/>
        </a:xfrm>
        <a:prstGeom prst="rect">
          <a:avLst/>
        </a:prstGeom>
        <a:solidFill>
          <a:schemeClr val="accent2"/>
        </a:solidFill>
        <a:ln w="12700">
          <a:noFill/>
          <a:miter lim="800000"/>
          <a:headEnd/>
          <a:tailEnd/>
        </a:ln>
      </xdr:spPr>
      <xdr:txBody>
        <a:bodyPr rot="0" vert="horz" wrap="square" lIns="182880" tIns="45720" rIns="182880" bIns="45720" anchor="ctr" anchorCtr="0" upright="1">
          <a:noAutofit/>
        </a:bodyPr>
        <a:lstStyle/>
        <a:p>
          <a:pPr algn="ctr">
            <a:spcAft>
              <a:spcPts val="0"/>
            </a:spcAft>
          </a:pPr>
          <a:r>
            <a:rPr lang="en-NZ" sz="3200">
              <a:solidFill>
                <a:schemeClr val="bg1"/>
              </a:solidFill>
              <a:effectLst/>
              <a:latin typeface="Calibri"/>
              <a:ea typeface="Times New Roman"/>
              <a:cs typeface="Calibri"/>
            </a:rPr>
            <a:t>EECA</a:t>
          </a:r>
          <a:r>
            <a:rPr lang="en-NZ" sz="3200" baseline="0">
              <a:solidFill>
                <a:schemeClr val="bg1"/>
              </a:solidFill>
              <a:effectLst/>
              <a:latin typeface="Calibri"/>
              <a:ea typeface="Times New Roman"/>
              <a:cs typeface="Calibri"/>
            </a:rPr>
            <a:t> Indoor Combustion Emissions Model</a:t>
          </a:r>
          <a:endParaRPr lang="en-GB" sz="1100">
            <a:solidFill>
              <a:schemeClr val="bg1"/>
            </a:solidFill>
            <a:effectLst/>
            <a:latin typeface="Calibri"/>
            <a:ea typeface="Times New Roman"/>
            <a:cs typeface="Times New Roman"/>
          </a:endParaRPr>
        </a:p>
      </xdr:txBody>
    </xdr:sp>
    <xdr:clientData/>
  </xdr:twoCellAnchor>
  <xdr:twoCellAnchor>
    <xdr:from>
      <xdr:col>2</xdr:col>
      <xdr:colOff>1685926</xdr:colOff>
      <xdr:row>6</xdr:row>
      <xdr:rowOff>9525</xdr:rowOff>
    </xdr:from>
    <xdr:to>
      <xdr:col>3</xdr:col>
      <xdr:colOff>2409825</xdr:colOff>
      <xdr:row>10</xdr:row>
      <xdr:rowOff>104775</xdr:rowOff>
    </xdr:to>
    <xdr:sp macro="" textlink="">
      <xdr:nvSpPr>
        <xdr:cNvPr id="3" name="Text Box 10">
          <a:extLst>
            <a:ext uri="{FF2B5EF4-FFF2-40B4-BE49-F238E27FC236}">
              <a16:creationId xmlns:a16="http://schemas.microsoft.com/office/drawing/2014/main" id="{F77597DD-9418-47C9-9715-77BFF1258BC1}"/>
            </a:ext>
          </a:extLst>
        </xdr:cNvPr>
        <xdr:cNvSpPr txBox="1">
          <a:spLocks noChangeArrowheads="1"/>
        </xdr:cNvSpPr>
      </xdr:nvSpPr>
      <xdr:spPr bwMode="auto">
        <a:xfrm>
          <a:off x="3552826" y="1000125"/>
          <a:ext cx="4616449" cy="755650"/>
        </a:xfrm>
        <a:prstGeom prst="rect">
          <a:avLst/>
        </a:prstGeom>
        <a:noFill/>
        <a:ln>
          <a:solidFill>
            <a:schemeClr val="accent1"/>
          </a:solidFill>
        </a:ln>
      </xdr:spPr>
      <xdr:txBody>
        <a:bodyPr rot="0" vert="horz" wrap="square" lIns="91440" tIns="45720" rIns="91440" bIns="45720" anchor="t" anchorCtr="0" upright="1">
          <a:noAutofit/>
        </a:bodyPr>
        <a:lstStyle/>
        <a:p>
          <a:pPr algn="ctr">
            <a:spcAft>
              <a:spcPts val="1000"/>
            </a:spcAft>
          </a:pPr>
          <a:r>
            <a:rPr lang="en-GB"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Version 1.4 - National</a:t>
          </a:r>
          <a:r>
            <a:rPr lang="en-GB" sz="12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impacts included, no outdoor gas</a:t>
          </a:r>
          <a:endParaRPr lang="en-GB" sz="1200" b="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algn="ctr">
            <a:spcAft>
              <a:spcPts val="1000"/>
            </a:spcAft>
          </a:pPr>
          <a:r>
            <a:rPr lang="en-GB"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Prepared for </a:t>
          </a:r>
          <a:r>
            <a:rPr lang="en-GB"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Energy Efficiency &amp; Conservation Authority</a:t>
          </a:r>
          <a:br>
            <a:rPr lang="en-GB" sz="12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r>
            <a:rPr lang="en-GB" sz="1100" b="0" i="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24 September </a:t>
          </a:r>
          <a:r>
            <a:rPr lang="en-GB" sz="1100" b="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2025</a:t>
          </a:r>
        </a:p>
        <a:p>
          <a:pPr algn="ctr">
            <a:spcAft>
              <a:spcPts val="1000"/>
            </a:spcAft>
          </a:pPr>
          <a:endParaRPr lang="en-GB" sz="1100" b="1">
            <a:solidFill>
              <a:srgbClr val="FF0000"/>
            </a:solidFill>
            <a:effectLst/>
            <a:latin typeface="Trebuchet MS"/>
            <a:ea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51</xdr:row>
      <xdr:rowOff>95250</xdr:rowOff>
    </xdr:from>
    <xdr:to>
      <xdr:col>2</xdr:col>
      <xdr:colOff>254000</xdr:colOff>
      <xdr:row>53</xdr:row>
      <xdr:rowOff>127000</xdr:rowOff>
    </xdr:to>
    <xdr:sp macro="" textlink="">
      <xdr:nvSpPr>
        <xdr:cNvPr id="2" name="Left Brace 1">
          <a:extLst>
            <a:ext uri="{FF2B5EF4-FFF2-40B4-BE49-F238E27FC236}">
              <a16:creationId xmlns:a16="http://schemas.microsoft.com/office/drawing/2014/main" id="{EB7FE175-08E8-7460-EB6F-3BB33B868803}"/>
            </a:ext>
          </a:extLst>
        </xdr:cNvPr>
        <xdr:cNvSpPr/>
      </xdr:nvSpPr>
      <xdr:spPr>
        <a:xfrm rot="10800000" flipH="1">
          <a:off x="5346700" y="9417050"/>
          <a:ext cx="158750" cy="400050"/>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NZ"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584200</xdr:colOff>
      <xdr:row>6</xdr:row>
      <xdr:rowOff>101600</xdr:rowOff>
    </xdr:from>
    <xdr:to>
      <xdr:col>19</xdr:col>
      <xdr:colOff>435542</xdr:colOff>
      <xdr:row>9</xdr:row>
      <xdr:rowOff>168762</xdr:rowOff>
    </xdr:to>
    <xdr:pic>
      <xdr:nvPicPr>
        <xdr:cNvPr id="2" name="Picture 1">
          <a:extLst>
            <a:ext uri="{FF2B5EF4-FFF2-40B4-BE49-F238E27FC236}">
              <a16:creationId xmlns:a16="http://schemas.microsoft.com/office/drawing/2014/main" id="{2D6FFD64-3929-4B8C-8BBB-1C357187A00C}"/>
            </a:ext>
          </a:extLst>
        </xdr:cNvPr>
        <xdr:cNvPicPr>
          <a:picLocks noChangeAspect="1"/>
        </xdr:cNvPicPr>
      </xdr:nvPicPr>
      <xdr:blipFill>
        <a:blip xmlns:r="http://schemas.openxmlformats.org/officeDocument/2006/relationships" r:embed="rId1"/>
        <a:stretch>
          <a:fillRect/>
        </a:stretch>
      </xdr:blipFill>
      <xdr:spPr>
        <a:xfrm>
          <a:off x="19850100" y="1257300"/>
          <a:ext cx="2197213" cy="635033"/>
        </a:xfrm>
        <a:prstGeom prst="rect">
          <a:avLst/>
        </a:prstGeom>
      </xdr:spPr>
    </xdr:pic>
    <xdr:clientData/>
  </xdr:twoCellAnchor>
  <xdr:twoCellAnchor editAs="oneCell">
    <xdr:from>
      <xdr:col>16</xdr:col>
      <xdr:colOff>539750</xdr:colOff>
      <xdr:row>10</xdr:row>
      <xdr:rowOff>114300</xdr:rowOff>
    </xdr:from>
    <xdr:to>
      <xdr:col>21</xdr:col>
      <xdr:colOff>141215</xdr:colOff>
      <xdr:row>12</xdr:row>
      <xdr:rowOff>64889</xdr:rowOff>
    </xdr:to>
    <xdr:pic>
      <xdr:nvPicPr>
        <xdr:cNvPr id="3" name="Picture 2">
          <a:extLst>
            <a:ext uri="{FF2B5EF4-FFF2-40B4-BE49-F238E27FC236}">
              <a16:creationId xmlns:a16="http://schemas.microsoft.com/office/drawing/2014/main" id="{3CB4B9C6-9808-4145-9F97-14713048111C}"/>
            </a:ext>
          </a:extLst>
        </xdr:cNvPr>
        <xdr:cNvPicPr>
          <a:picLocks noChangeAspect="1"/>
        </xdr:cNvPicPr>
      </xdr:nvPicPr>
      <xdr:blipFill>
        <a:blip xmlns:r="http://schemas.openxmlformats.org/officeDocument/2006/relationships" r:embed="rId2"/>
        <a:stretch>
          <a:fillRect/>
        </a:stretch>
      </xdr:blipFill>
      <xdr:spPr>
        <a:xfrm>
          <a:off x="19805650" y="2019300"/>
          <a:ext cx="3162463" cy="330217"/>
        </a:xfrm>
        <a:prstGeom prst="rect">
          <a:avLst/>
        </a:prstGeom>
      </xdr:spPr>
    </xdr:pic>
    <xdr:clientData/>
  </xdr:twoCellAnchor>
  <xdr:twoCellAnchor editAs="oneCell">
    <xdr:from>
      <xdr:col>17</xdr:col>
      <xdr:colOff>12700</xdr:colOff>
      <xdr:row>19</xdr:row>
      <xdr:rowOff>101600</xdr:rowOff>
    </xdr:from>
    <xdr:to>
      <xdr:col>19</xdr:col>
      <xdr:colOff>435540</xdr:colOff>
      <xdr:row>21</xdr:row>
      <xdr:rowOff>54446</xdr:rowOff>
    </xdr:to>
    <xdr:pic>
      <xdr:nvPicPr>
        <xdr:cNvPr id="4" name="Picture 3">
          <a:extLst>
            <a:ext uri="{FF2B5EF4-FFF2-40B4-BE49-F238E27FC236}">
              <a16:creationId xmlns:a16="http://schemas.microsoft.com/office/drawing/2014/main" id="{00326E6A-ED4F-48DA-9112-D4B50E12643D}"/>
            </a:ext>
          </a:extLst>
        </xdr:cNvPr>
        <xdr:cNvPicPr>
          <a:picLocks noChangeAspect="1"/>
        </xdr:cNvPicPr>
      </xdr:nvPicPr>
      <xdr:blipFill>
        <a:blip xmlns:r="http://schemas.openxmlformats.org/officeDocument/2006/relationships" r:embed="rId3"/>
        <a:stretch>
          <a:fillRect/>
        </a:stretch>
      </xdr:blipFill>
      <xdr:spPr>
        <a:xfrm>
          <a:off x="19888200" y="3708400"/>
          <a:ext cx="2159111" cy="330217"/>
        </a:xfrm>
        <a:prstGeom prst="rect">
          <a:avLst/>
        </a:prstGeom>
      </xdr:spPr>
    </xdr:pic>
    <xdr:clientData/>
  </xdr:twoCellAnchor>
  <xdr:twoCellAnchor editAs="oneCell">
    <xdr:from>
      <xdr:col>16</xdr:col>
      <xdr:colOff>590550</xdr:colOff>
      <xdr:row>13</xdr:row>
      <xdr:rowOff>25400</xdr:rowOff>
    </xdr:from>
    <xdr:to>
      <xdr:col>23</xdr:col>
      <xdr:colOff>38317</xdr:colOff>
      <xdr:row>17</xdr:row>
      <xdr:rowOff>124764</xdr:rowOff>
    </xdr:to>
    <xdr:pic>
      <xdr:nvPicPr>
        <xdr:cNvPr id="5" name="Picture 4">
          <a:extLst>
            <a:ext uri="{FF2B5EF4-FFF2-40B4-BE49-F238E27FC236}">
              <a16:creationId xmlns:a16="http://schemas.microsoft.com/office/drawing/2014/main" id="{F707EE99-9206-4CF8-B670-09098A1131C2}"/>
            </a:ext>
          </a:extLst>
        </xdr:cNvPr>
        <xdr:cNvPicPr>
          <a:picLocks noChangeAspect="1"/>
        </xdr:cNvPicPr>
      </xdr:nvPicPr>
      <xdr:blipFill>
        <a:blip xmlns:r="http://schemas.openxmlformats.org/officeDocument/2006/relationships" r:embed="rId4"/>
        <a:stretch>
          <a:fillRect/>
        </a:stretch>
      </xdr:blipFill>
      <xdr:spPr>
        <a:xfrm>
          <a:off x="19856450" y="2501900"/>
          <a:ext cx="4229317" cy="8445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584200</xdr:colOff>
      <xdr:row>6</xdr:row>
      <xdr:rowOff>101600</xdr:rowOff>
    </xdr:from>
    <xdr:to>
      <xdr:col>20</xdr:col>
      <xdr:colOff>228713</xdr:colOff>
      <xdr:row>9</xdr:row>
      <xdr:rowOff>168762</xdr:rowOff>
    </xdr:to>
    <xdr:pic>
      <xdr:nvPicPr>
        <xdr:cNvPr id="2" name="Picture 1">
          <a:extLst>
            <a:ext uri="{FF2B5EF4-FFF2-40B4-BE49-F238E27FC236}">
              <a16:creationId xmlns:a16="http://schemas.microsoft.com/office/drawing/2014/main" id="{2C86EBEB-25C7-4E01-9323-4867D435D5E4}"/>
            </a:ext>
          </a:extLst>
        </xdr:cNvPr>
        <xdr:cNvPicPr>
          <a:picLocks noChangeAspect="1"/>
        </xdr:cNvPicPr>
      </xdr:nvPicPr>
      <xdr:blipFill>
        <a:blip xmlns:r="http://schemas.openxmlformats.org/officeDocument/2006/relationships" r:embed="rId1"/>
        <a:stretch>
          <a:fillRect/>
        </a:stretch>
      </xdr:blipFill>
      <xdr:spPr>
        <a:xfrm>
          <a:off x="19850100" y="1257300"/>
          <a:ext cx="2197213" cy="635033"/>
        </a:xfrm>
        <a:prstGeom prst="rect">
          <a:avLst/>
        </a:prstGeom>
      </xdr:spPr>
    </xdr:pic>
    <xdr:clientData/>
  </xdr:twoCellAnchor>
  <xdr:twoCellAnchor editAs="oneCell">
    <xdr:from>
      <xdr:col>16</xdr:col>
      <xdr:colOff>539750</xdr:colOff>
      <xdr:row>10</xdr:row>
      <xdr:rowOff>114300</xdr:rowOff>
    </xdr:from>
    <xdr:to>
      <xdr:col>21</xdr:col>
      <xdr:colOff>543977</xdr:colOff>
      <xdr:row>12</xdr:row>
      <xdr:rowOff>64896</xdr:rowOff>
    </xdr:to>
    <xdr:pic>
      <xdr:nvPicPr>
        <xdr:cNvPr id="3" name="Picture 2">
          <a:extLst>
            <a:ext uri="{FF2B5EF4-FFF2-40B4-BE49-F238E27FC236}">
              <a16:creationId xmlns:a16="http://schemas.microsoft.com/office/drawing/2014/main" id="{449C1C68-7654-4E11-A943-44FC8710C5BA}"/>
            </a:ext>
          </a:extLst>
        </xdr:cNvPr>
        <xdr:cNvPicPr>
          <a:picLocks noChangeAspect="1"/>
        </xdr:cNvPicPr>
      </xdr:nvPicPr>
      <xdr:blipFill>
        <a:blip xmlns:r="http://schemas.openxmlformats.org/officeDocument/2006/relationships" r:embed="rId2"/>
        <a:stretch>
          <a:fillRect/>
        </a:stretch>
      </xdr:blipFill>
      <xdr:spPr>
        <a:xfrm>
          <a:off x="19805650" y="2019300"/>
          <a:ext cx="3167896" cy="335670"/>
        </a:xfrm>
        <a:prstGeom prst="rect">
          <a:avLst/>
        </a:prstGeom>
      </xdr:spPr>
    </xdr:pic>
    <xdr:clientData/>
  </xdr:twoCellAnchor>
  <xdr:twoCellAnchor editAs="oneCell">
    <xdr:from>
      <xdr:col>17</xdr:col>
      <xdr:colOff>12700</xdr:colOff>
      <xdr:row>19</xdr:row>
      <xdr:rowOff>101600</xdr:rowOff>
    </xdr:from>
    <xdr:to>
      <xdr:col>20</xdr:col>
      <xdr:colOff>228711</xdr:colOff>
      <xdr:row>21</xdr:row>
      <xdr:rowOff>54446</xdr:rowOff>
    </xdr:to>
    <xdr:pic>
      <xdr:nvPicPr>
        <xdr:cNvPr id="4" name="Picture 3">
          <a:extLst>
            <a:ext uri="{FF2B5EF4-FFF2-40B4-BE49-F238E27FC236}">
              <a16:creationId xmlns:a16="http://schemas.microsoft.com/office/drawing/2014/main" id="{3F2CE7AD-9772-4C33-BA9B-74FC3E3256D7}"/>
            </a:ext>
          </a:extLst>
        </xdr:cNvPr>
        <xdr:cNvPicPr>
          <a:picLocks noChangeAspect="1"/>
        </xdr:cNvPicPr>
      </xdr:nvPicPr>
      <xdr:blipFill>
        <a:blip xmlns:r="http://schemas.openxmlformats.org/officeDocument/2006/relationships" r:embed="rId3"/>
        <a:stretch>
          <a:fillRect/>
        </a:stretch>
      </xdr:blipFill>
      <xdr:spPr>
        <a:xfrm>
          <a:off x="19888200" y="3708400"/>
          <a:ext cx="2159111" cy="330217"/>
        </a:xfrm>
        <a:prstGeom prst="rect">
          <a:avLst/>
        </a:prstGeom>
      </xdr:spPr>
    </xdr:pic>
    <xdr:clientData/>
  </xdr:twoCellAnchor>
  <xdr:twoCellAnchor editAs="oneCell">
    <xdr:from>
      <xdr:col>16</xdr:col>
      <xdr:colOff>590550</xdr:colOff>
      <xdr:row>13</xdr:row>
      <xdr:rowOff>25400</xdr:rowOff>
    </xdr:from>
    <xdr:to>
      <xdr:col>23</xdr:col>
      <xdr:colOff>435646</xdr:colOff>
      <xdr:row>17</xdr:row>
      <xdr:rowOff>124757</xdr:rowOff>
    </xdr:to>
    <xdr:pic>
      <xdr:nvPicPr>
        <xdr:cNvPr id="5" name="Picture 4">
          <a:extLst>
            <a:ext uri="{FF2B5EF4-FFF2-40B4-BE49-F238E27FC236}">
              <a16:creationId xmlns:a16="http://schemas.microsoft.com/office/drawing/2014/main" id="{AD96F23F-1749-4CF5-8DCA-319E798F6CCA}"/>
            </a:ext>
          </a:extLst>
        </xdr:cNvPr>
        <xdr:cNvPicPr>
          <a:picLocks noChangeAspect="1"/>
        </xdr:cNvPicPr>
      </xdr:nvPicPr>
      <xdr:blipFill>
        <a:blip xmlns:r="http://schemas.openxmlformats.org/officeDocument/2006/relationships" r:embed="rId4"/>
        <a:stretch>
          <a:fillRect/>
        </a:stretch>
      </xdr:blipFill>
      <xdr:spPr>
        <a:xfrm>
          <a:off x="19856450" y="2501900"/>
          <a:ext cx="4229317" cy="850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da's%20Jobs'%20Files/Auckland%20Transport/Zero%20E%20Future_Sep17/VEPM%205.3%20-%2027Mar17%20AC_g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EXCEL5\adminxl\adminxl\TSHEET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72.11.120\home\Jobs'%20Files\HAPINZ%203.0\2_Analysis\damage%20costs\home-heating-inventory-data-2006-and-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d.docs.live.net/Users/Surekha%20Sridhar/AppData/Local/Temp/Temp1_1.A.3.b.i-iv%20Exhaust%20emissions%20from%20road%20transport%20data%20annex%20Sept2014%20update.zip/1.A.3.b.i-iv%20Exhaust%20emissions%20from%20road%20transport%20data%20annex%20Sept2014%20update.xlsx?0DE393E8" TargetMode="External"/><Relationship Id="rId1" Type="http://schemas.openxmlformats.org/officeDocument/2006/relationships/externalLinkPath" Target="file:///\\0DE393E8\1.A.3.b.i-iv%20Exhaust%20emissions%20from%20road%20transport%20data%20annex%20Sept2014%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rda's%20Jobs'%20Files/HAPINZ%203.0/5_Final%20Reporting/_Final%20Deliverables%20Jun22/HAPINZ%203.0_Health%20Effects%20Model.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Gerda's%20Jobs'%20Files\EECA\4%20Model\HAPINZ%203.0_Health%20Effects%20Model_gk.xlsm" TargetMode="External"/><Relationship Id="rId1" Type="http://schemas.openxmlformats.org/officeDocument/2006/relationships/externalLinkPath" Target="file:///C:\Gerda's%20Jobs'%20Files\EECA\4%20Model\HAPINZ%203.0_Health%20Effects%20Model_gk.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1.NZIER\Industry%20Outlook%20(807)\2001-02\GDP\IO%20Production-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PM"/>
      <sheetName val="Fleet emission factors"/>
      <sheetName val="Fleet profile"/>
      <sheetName val="Summary"/>
      <sheetName val="Fuel types"/>
      <sheetName val="EU &amp; NZ Front"/>
      <sheetName val="Euro 5 &amp; 6 EF - PCs"/>
      <sheetName val="Euro 5 &amp; 6 EF - LDVs"/>
      <sheetName val="Euro V &amp; VI EF - HDVs &amp; Bus"/>
      <sheetName val="Japan Front"/>
      <sheetName val="Petrol Spec"/>
      <sheetName val="Diesel Spec"/>
      <sheetName val="EU EmFac"/>
      <sheetName val="NZ EmFac"/>
      <sheetName val="Japan EmFac"/>
      <sheetName val="EU ColdStart"/>
      <sheetName val="NZ ColdStart"/>
      <sheetName val="Japan ColdStart"/>
      <sheetName val="EU &amp; NZ Degradation"/>
      <sheetName val="Japan Degradation"/>
      <sheetName val="LDV Gradient Effects"/>
      <sheetName val="NZ Fleet"/>
      <sheetName val="cumulative VKT"/>
      <sheetName val="CAR VKT"/>
      <sheetName val="VFEM car VKT"/>
      <sheetName val="HCV VKT"/>
      <sheetName val="VFEM HCV VKT"/>
      <sheetName val="HCV CO"/>
      <sheetName val="HCV HC"/>
      <sheetName val="HCV NOx"/>
      <sheetName val="HCV PM"/>
      <sheetName val="HCV FC"/>
      <sheetName val="Brake and Tyre"/>
      <sheetName val="Bulk Run"/>
      <sheetName val="Bulk Input"/>
      <sheetName val="Bulk Output"/>
      <sheetName val="Changelog"/>
      <sheetName val="used HC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
      <sheetName val="Contracts"/>
      <sheetName val="data"/>
      <sheetName val="time summary"/>
      <sheetName val="progs"/>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
      <sheetName val="UrbanGraphs"/>
      <sheetName val="PieGraphs"/>
      <sheetName val="PieGraphsUrbanAreas"/>
      <sheetName val="Tables (tonnesyear)"/>
      <sheetName val="Tables (kgday) winter"/>
      <sheetName val="UrbanAreas2013"/>
      <sheetName val="UrbanAreas2006"/>
      <sheetName val="TrendEvaluation"/>
      <sheetName val="EmissionsCAU2013"/>
      <sheetName val="EmissionsCAU2006"/>
      <sheetName val="SeasonalProfiles"/>
      <sheetName val="EmissionsTable"/>
      <sheetName val="MotorVehic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s - LDVs Equations"/>
      <sheetName val="PCs"/>
      <sheetName val="LDVs"/>
      <sheetName val="HDV - BUS Equations"/>
      <sheetName val="HDVs - BUS"/>
    </sheetNames>
    <sheetDataSet>
      <sheetData sheetId="0"/>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Summary"/>
      <sheetName val="2016 Results"/>
      <sheetName val="Scenario Results"/>
      <sheetName val="DF"/>
      <sheetName val="MV"/>
      <sheetName val="Industry"/>
      <sheetName val="Crustal"/>
      <sheetName val="Marine"/>
      <sheetName val="Secondary"/>
      <sheetName val="NO2"/>
      <sheetName val="PAF"/>
      <sheetName val="Population &amp; Health Data"/>
      <sheetName val="Industry Sites"/>
      <sheetName val="PM10 Data"/>
      <sheetName val="PM2.5 Data"/>
      <sheetName val="PM Values"/>
      <sheetName val="PM Ratios"/>
      <sheetName val="Conc'n by CAU"/>
      <sheetName val="Source Appt"/>
      <sheetName val="SA by CAU"/>
      <sheetName val="SA Scenario"/>
      <sheetName val="AU Geographic Codes"/>
      <sheetName val="Glossary"/>
      <sheetName val="Report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Input"/>
      <sheetName val="Summary"/>
      <sheetName val="2016 Results"/>
      <sheetName val="Scenario Results"/>
      <sheetName val="DF"/>
      <sheetName val="MV"/>
      <sheetName val="Industry"/>
      <sheetName val="Crustal"/>
      <sheetName val="Marine"/>
      <sheetName val="Secondary"/>
      <sheetName val="NO2"/>
      <sheetName val="PAF"/>
      <sheetName val="Population &amp; Health Data"/>
      <sheetName val="Industry Sites"/>
      <sheetName val="PM10 Data"/>
      <sheetName val="PM2.5 Data"/>
      <sheetName val="PM Values"/>
      <sheetName val="PM Ratios"/>
      <sheetName val="Conc'n by CAU"/>
      <sheetName val="Source Appt"/>
      <sheetName val="SA by CAU"/>
      <sheetName val="SA Scenario"/>
      <sheetName val="AU Geographic Codes"/>
      <sheetName val="Glossary"/>
      <sheetName val="Report Tables"/>
      <sheetName val="HAPINZ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Assumptions"/>
      <sheetName val="Pop assumptions"/>
      <sheetName val="Current"/>
      <sheetName val="Constant"/>
      <sheetName val="Constant (aapc)"/>
      <sheetName val="Constant scaled"/>
      <sheetName val="Consolidated"/>
      <sheetName val="Consolidated scaled"/>
      <sheetName val="Employment"/>
      <sheetName val="Regional GDP"/>
      <sheetName val="Regional GDP scaled"/>
      <sheetName val="Tables"/>
      <sheetName val="Chart5"/>
      <sheetName val="Chart6 (2)"/>
      <sheetName val="Chart1"/>
      <sheetName val="Chart5 (2)"/>
      <sheetName val="Chart6 (3)"/>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tats.govt.nz/information-releases/dwelling-and-household-estimates-march-2025-quarter/" TargetMode="External"/><Relationship Id="rId1" Type="http://schemas.openxmlformats.org/officeDocument/2006/relationships/hyperlink" Target="https://www.rewiring.nz/machine-cou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8" Type="http://schemas.openxmlformats.org/officeDocument/2006/relationships/hyperlink" Target="https://doi.org/10.1016/j.scitotenv.2019.135769" TargetMode="External"/><Relationship Id="rId13" Type="http://schemas.openxmlformats.org/officeDocument/2006/relationships/hyperlink" Target="https://www.treasury.govt.nz/publications/guide/cbax-spreadsheet-model" TargetMode="External"/><Relationship Id="rId3" Type="http://schemas.openxmlformats.org/officeDocument/2006/relationships/hyperlink" Target="https://environment.govt.nz/publications/health-and-air-pollution-in-new-zealand-2016-detailed-methodology/" TargetMode="External"/><Relationship Id="rId7" Type="http://schemas.openxmlformats.org/officeDocument/2006/relationships/hyperlink" Target="https://doi.org/10.1016/S2213-2600(23)00427-7" TargetMode="External"/><Relationship Id="rId12" Type="http://schemas.openxmlformats.org/officeDocument/2006/relationships/hyperlink" Target="https://www.sei.org/tools/gap-global-air-pollution-forum-emission-manual/" TargetMode="External"/><Relationship Id="rId2" Type="http://schemas.openxmlformats.org/officeDocument/2006/relationships/hyperlink" Target="https://www.nzta.govt.nz/assets/resources/research/reports/698/698-monetised-benefits-and-costs-manual-mbcm-parameter-values.pdf" TargetMode="External"/><Relationship Id="rId16" Type="http://schemas.openxmlformats.org/officeDocument/2006/relationships/printerSettings" Target="../printerSettings/printerSettings14.bin"/><Relationship Id="rId1" Type="http://schemas.openxmlformats.org/officeDocument/2006/relationships/hyperlink" Target="https://doi.org/10.1016/j.scitotenv.2021.149660" TargetMode="External"/><Relationship Id="rId6" Type="http://schemas.openxmlformats.org/officeDocument/2006/relationships/hyperlink" Target="https://doi.org/10.1111/j.1600-0668.2008.00554.x" TargetMode="External"/><Relationship Id="rId11" Type="http://schemas.openxmlformats.org/officeDocument/2006/relationships/hyperlink" Target="https://agrilink.co.nz/wp-content/uploads/2024/03/Fuel-LCA-emission-factors-2023-2.pdf" TargetMode="External"/><Relationship Id="rId5" Type="http://schemas.openxmlformats.org/officeDocument/2006/relationships/hyperlink" Target="https://doi.org/10.1038/s41370-019-0151-4" TargetMode="External"/><Relationship Id="rId15" Type="http://schemas.openxmlformats.org/officeDocument/2006/relationships/hyperlink" Target="https://knowledgeauckland.org.nz/media/1091/tr2018-018-auckland-air-emissions-inventory-2016-home-heating.pdf" TargetMode="External"/><Relationship Id="rId10" Type="http://schemas.openxmlformats.org/officeDocument/2006/relationships/hyperlink" Target="https://doi.org/10.1016/j.chemosphere.2013.11.067" TargetMode="External"/><Relationship Id="rId4" Type="http://schemas.openxmlformats.org/officeDocument/2006/relationships/hyperlink" Target="https://doi.org/10.3390/atmos11121326" TargetMode="External"/><Relationship Id="rId9" Type="http://schemas.openxmlformats.org/officeDocument/2006/relationships/hyperlink" Target="http://dx.doi.org/10.1371/journal.pone.0166440" TargetMode="External"/><Relationship Id="rId14" Type="http://schemas.openxmlformats.org/officeDocument/2006/relationships/hyperlink" Target="https://data.mfe.govt.nz/document/11670-home-heating-emission-inventory-and-other-sources-evaluation-20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B518-3E97-44B5-B350-5D00B8C09411}">
  <sheetPr codeName="Sheet8">
    <pageSetUpPr fitToPage="1"/>
  </sheetPr>
  <dimension ref="A6:D84"/>
  <sheetViews>
    <sheetView showGridLines="0" tabSelected="1" zoomScaleNormal="100" workbookViewId="0">
      <selection activeCell="C20" sqref="C20"/>
    </sheetView>
  </sheetViews>
  <sheetFormatPr defaultColWidth="9.140625" defaultRowHeight="12.95"/>
  <cols>
    <col min="1" max="1" width="6.28515625" style="2" customWidth="1"/>
    <col min="2" max="2" width="21.140625" style="2" customWidth="1"/>
    <col min="3" max="3" width="55.7109375" style="2" customWidth="1"/>
    <col min="4" max="4" width="92.5703125" style="2" customWidth="1"/>
    <col min="5" max="5" width="13.42578125" style="2" customWidth="1"/>
    <col min="6" max="6" width="9.85546875" style="2" customWidth="1"/>
    <col min="7" max="16384" width="9.140625" style="2"/>
  </cols>
  <sheetData>
    <row r="6" spans="2:3">
      <c r="B6" s="3"/>
    </row>
    <row r="7" spans="2:3">
      <c r="B7" s="3"/>
    </row>
    <row r="8" spans="2:3">
      <c r="B8" s="3"/>
    </row>
    <row r="9" spans="2:3">
      <c r="B9" s="3"/>
    </row>
    <row r="10" spans="2:3">
      <c r="B10" s="3"/>
    </row>
    <row r="11" spans="2:3">
      <c r="B11" s="3"/>
    </row>
    <row r="12" spans="2:3">
      <c r="B12" s="3"/>
    </row>
    <row r="13" spans="2:3" ht="15" customHeight="1">
      <c r="B13" s="9" t="s">
        <v>0</v>
      </c>
    </row>
    <row r="14" spans="2:3" ht="15" customHeight="1">
      <c r="B14" s="9" t="s">
        <v>1</v>
      </c>
    </row>
    <row r="15" spans="2:3" ht="15" customHeight="1">
      <c r="B15" s="9"/>
    </row>
    <row r="16" spans="2:3" ht="15" customHeight="1">
      <c r="B16" s="9" t="s">
        <v>2</v>
      </c>
      <c r="C16" s="3"/>
    </row>
    <row r="17" spans="1:4" ht="15" customHeight="1">
      <c r="A17" s="359"/>
      <c r="B17" s="447" t="s">
        <v>3</v>
      </c>
      <c r="C17" s="3"/>
    </row>
    <row r="18" spans="1:4" ht="15" customHeight="1">
      <c r="A18" s="359"/>
      <c r="B18" s="359"/>
      <c r="C18" s="3"/>
    </row>
    <row r="19" spans="1:4" ht="15" customHeight="1">
      <c r="B19" s="360" t="s">
        <v>4</v>
      </c>
    </row>
    <row r="20" spans="1:4" ht="15" customHeight="1">
      <c r="A20" s="361"/>
      <c r="B20" s="3"/>
    </row>
    <row r="21" spans="1:4" ht="15" customHeight="1">
      <c r="A21" s="361"/>
      <c r="B21" s="362" t="s">
        <v>5</v>
      </c>
      <c r="C21" s="9" t="s">
        <v>6</v>
      </c>
    </row>
    <row r="22" spans="1:4" ht="15" customHeight="1">
      <c r="A22" s="361"/>
      <c r="B22" s="363"/>
      <c r="C22" s="9"/>
    </row>
    <row r="23" spans="1:4" s="364" customFormat="1" ht="15" customHeight="1">
      <c r="B23" s="365" t="s">
        <v>7</v>
      </c>
      <c r="C23" s="366" t="s">
        <v>8</v>
      </c>
      <c r="D23" s="367"/>
    </row>
    <row r="24" spans="1:4" s="364" customFormat="1" ht="15" customHeight="1">
      <c r="B24" s="368"/>
      <c r="C24" s="366" t="s">
        <v>9</v>
      </c>
      <c r="D24" s="367"/>
    </row>
    <row r="25" spans="1:4" s="364" customFormat="1" ht="15" customHeight="1">
      <c r="B25" s="368"/>
      <c r="C25" s="369" t="s">
        <v>10</v>
      </c>
      <c r="D25" s="367"/>
    </row>
    <row r="26" spans="1:4" s="364" customFormat="1" ht="15" customHeight="1">
      <c r="B26" s="368"/>
      <c r="C26" s="370"/>
      <c r="D26" s="367"/>
    </row>
    <row r="27" spans="1:4" s="364" customFormat="1" ht="15" customHeight="1">
      <c r="B27" s="360" t="s">
        <v>11</v>
      </c>
      <c r="C27" s="366"/>
      <c r="D27" s="367"/>
    </row>
    <row r="28" spans="1:4" s="364" customFormat="1" ht="15" customHeight="1">
      <c r="A28" s="361"/>
      <c r="B28" s="368"/>
      <c r="C28" s="366"/>
      <c r="D28" s="367"/>
    </row>
    <row r="29" spans="1:4" s="364" customFormat="1" ht="15" customHeight="1">
      <c r="B29" s="554" t="s">
        <v>12</v>
      </c>
      <c r="C29" s="366" t="s">
        <v>13</v>
      </c>
      <c r="D29" s="367"/>
    </row>
    <row r="30" spans="1:4" s="364" customFormat="1" ht="15" customHeight="1">
      <c r="B30" s="371"/>
      <c r="C30" s="371" t="s">
        <v>14</v>
      </c>
      <c r="D30" s="367"/>
    </row>
    <row r="31" spans="1:4" s="364" customFormat="1" ht="15" customHeight="1">
      <c r="B31" s="371"/>
      <c r="C31" s="369" t="s">
        <v>15</v>
      </c>
      <c r="D31" s="367"/>
    </row>
    <row r="32" spans="1:4" s="364" customFormat="1" ht="15" customHeight="1">
      <c r="B32" s="9"/>
      <c r="C32" s="9"/>
      <c r="D32" s="367"/>
    </row>
    <row r="33" spans="1:4" s="364" customFormat="1" ht="15" customHeight="1">
      <c r="B33" s="554" t="s">
        <v>16</v>
      </c>
      <c r="C33" s="9" t="s">
        <v>17</v>
      </c>
    </row>
    <row r="34" spans="1:4" s="364" customFormat="1" ht="15" customHeight="1">
      <c r="B34" s="9"/>
      <c r="C34" s="369" t="s">
        <v>18</v>
      </c>
    </row>
    <row r="35" spans="1:4" s="364" customFormat="1" ht="15" customHeight="1">
      <c r="B35" s="371"/>
      <c r="C35" s="371"/>
    </row>
    <row r="36" spans="1:4" s="364" customFormat="1" ht="15" customHeight="1">
      <c r="B36" s="360" t="s">
        <v>19</v>
      </c>
      <c r="C36" s="372"/>
      <c r="D36" s="367"/>
    </row>
    <row r="37" spans="1:4" s="364" customFormat="1" ht="15" customHeight="1">
      <c r="A37" s="361"/>
      <c r="B37" s="371"/>
      <c r="C37" s="372"/>
      <c r="D37" s="367"/>
    </row>
    <row r="38" spans="1:4" s="364" customFormat="1" ht="15" customHeight="1">
      <c r="B38" s="153" t="s">
        <v>20</v>
      </c>
      <c r="C38" s="366" t="s">
        <v>21</v>
      </c>
      <c r="D38" s="367"/>
    </row>
    <row r="39" spans="1:4" s="364" customFormat="1" ht="15" customHeight="1">
      <c r="B39" s="371"/>
      <c r="C39" s="369" t="s">
        <v>22</v>
      </c>
      <c r="D39" s="367"/>
    </row>
    <row r="40" spans="1:4" s="364" customFormat="1" ht="15" customHeight="1">
      <c r="B40" s="361"/>
      <c r="C40" s="371"/>
      <c r="D40" s="367"/>
    </row>
    <row r="41" spans="1:4" s="364" customFormat="1" ht="15" customHeight="1">
      <c r="B41" s="159" t="s">
        <v>23</v>
      </c>
      <c r="C41" s="366" t="s">
        <v>24</v>
      </c>
      <c r="D41" s="367"/>
    </row>
    <row r="42" spans="1:4" s="364" customFormat="1" ht="15" customHeight="1">
      <c r="B42" s="371"/>
      <c r="C42" s="369" t="s">
        <v>25</v>
      </c>
      <c r="D42" s="367"/>
    </row>
    <row r="43" spans="1:4" s="364" customFormat="1" ht="15" customHeight="1">
      <c r="B43" s="371"/>
      <c r="C43" s="372"/>
      <c r="D43" s="367"/>
    </row>
    <row r="44" spans="1:4" s="364" customFormat="1" ht="15" customHeight="1">
      <c r="B44" s="373" t="s">
        <v>26</v>
      </c>
      <c r="C44" s="366" t="s">
        <v>27</v>
      </c>
      <c r="D44" s="367"/>
    </row>
    <row r="45" spans="1:4" s="364" customFormat="1" ht="15" customHeight="1">
      <c r="B45" s="371"/>
      <c r="C45" s="369" t="s">
        <v>28</v>
      </c>
      <c r="D45" s="367"/>
    </row>
    <row r="46" spans="1:4" s="364" customFormat="1" ht="15" customHeight="1">
      <c r="B46" s="371"/>
      <c r="C46" s="372"/>
      <c r="D46" s="367"/>
    </row>
    <row r="47" spans="1:4" s="364" customFormat="1" ht="15" customHeight="1">
      <c r="B47" s="374" t="s">
        <v>29</v>
      </c>
      <c r="C47" s="9" t="s">
        <v>30</v>
      </c>
      <c r="D47" s="367"/>
    </row>
    <row r="48" spans="1:4" s="364" customFormat="1" ht="15" customHeight="1">
      <c r="B48" s="375"/>
      <c r="C48" s="369" t="s">
        <v>31</v>
      </c>
      <c r="D48" s="367"/>
    </row>
    <row r="49" spans="1:4" s="364" customFormat="1" ht="15" customHeight="1">
      <c r="B49" s="375"/>
      <c r="C49" s="369"/>
      <c r="D49" s="367"/>
    </row>
    <row r="50" spans="1:4" s="364" customFormat="1" ht="15" customHeight="1">
      <c r="B50" s="606" t="s">
        <v>32</v>
      </c>
      <c r="C50" s="366" t="s">
        <v>33</v>
      </c>
      <c r="D50" s="367"/>
    </row>
    <row r="51" spans="1:4" s="364" customFormat="1" ht="15" customHeight="1">
      <c r="B51" s="371"/>
      <c r="C51" s="369" t="s">
        <v>34</v>
      </c>
      <c r="D51" s="367"/>
    </row>
    <row r="52" spans="1:4" s="364" customFormat="1" ht="15" customHeight="1">
      <c r="B52" s="375"/>
      <c r="C52" s="372"/>
      <c r="D52" s="367"/>
    </row>
    <row r="53" spans="1:4" s="364" customFormat="1" ht="15" customHeight="1">
      <c r="B53" s="376" t="s">
        <v>35</v>
      </c>
      <c r="C53" s="366" t="s">
        <v>36</v>
      </c>
      <c r="D53" s="367"/>
    </row>
    <row r="54" spans="1:4" s="364" customFormat="1" ht="15" customHeight="1">
      <c r="B54" s="371"/>
      <c r="C54" s="369" t="s">
        <v>37</v>
      </c>
      <c r="D54" s="367"/>
    </row>
    <row r="55" spans="1:4" s="364" customFormat="1" ht="15" customHeight="1">
      <c r="B55" s="371"/>
      <c r="C55" s="369"/>
      <c r="D55" s="367"/>
    </row>
    <row r="56" spans="1:4" s="364" customFormat="1" ht="15" customHeight="1">
      <c r="B56" s="376" t="s">
        <v>38</v>
      </c>
      <c r="C56" s="366" t="s">
        <v>39</v>
      </c>
      <c r="D56" s="367"/>
    </row>
    <row r="57" spans="1:4" s="364" customFormat="1" ht="15" customHeight="1">
      <c r="B57" s="371"/>
      <c r="C57" s="369" t="s">
        <v>40</v>
      </c>
      <c r="D57" s="367"/>
    </row>
    <row r="58" spans="1:4" s="364" customFormat="1" ht="15" customHeight="1">
      <c r="B58" s="9"/>
      <c r="C58" s="9"/>
      <c r="D58" s="367"/>
    </row>
    <row r="59" spans="1:4" s="364" customFormat="1" ht="15" customHeight="1">
      <c r="B59" s="360" t="s">
        <v>41</v>
      </c>
      <c r="C59" s="371"/>
    </row>
    <row r="60" spans="1:4" s="364" customFormat="1" ht="15" customHeight="1">
      <c r="A60" s="361"/>
      <c r="B60" s="371"/>
      <c r="C60" s="371"/>
    </row>
    <row r="61" spans="1:4" s="364" customFormat="1" ht="15" customHeight="1">
      <c r="A61" s="361"/>
      <c r="B61" s="377" t="s">
        <v>42</v>
      </c>
      <c r="C61" s="371" t="s">
        <v>43</v>
      </c>
    </row>
    <row r="62" spans="1:4" s="364" customFormat="1" ht="15" customHeight="1">
      <c r="A62" s="361"/>
      <c r="B62" s="371"/>
      <c r="C62" s="369" t="s">
        <v>44</v>
      </c>
    </row>
    <row r="63" spans="1:4" s="364" customFormat="1" ht="15" customHeight="1">
      <c r="A63" s="361"/>
      <c r="B63" s="371"/>
      <c r="C63" s="372"/>
    </row>
    <row r="64" spans="1:4" s="364" customFormat="1" ht="15" customHeight="1">
      <c r="A64" s="361"/>
      <c r="B64" s="378" t="s">
        <v>45</v>
      </c>
      <c r="C64" s="366" t="s">
        <v>46</v>
      </c>
    </row>
    <row r="65" spans="1:4" s="364" customFormat="1" ht="15" customHeight="1">
      <c r="A65" s="361"/>
      <c r="B65" s="371"/>
      <c r="C65" s="369" t="s">
        <v>47</v>
      </c>
    </row>
    <row r="66" spans="1:4" s="364" customFormat="1" ht="15" customHeight="1">
      <c r="A66" s="361"/>
      <c r="B66" s="375"/>
      <c r="C66" s="372"/>
    </row>
    <row r="67" spans="1:4" s="364" customFormat="1" ht="15" customHeight="1">
      <c r="A67" s="361"/>
      <c r="B67" s="379" t="s">
        <v>48</v>
      </c>
      <c r="C67" s="366" t="s">
        <v>49</v>
      </c>
    </row>
    <row r="68" spans="1:4" s="364" customFormat="1" ht="15" customHeight="1">
      <c r="A68" s="361"/>
      <c r="B68" s="371"/>
      <c r="C68" s="369" t="s">
        <v>50</v>
      </c>
    </row>
    <row r="69" spans="1:4" s="364" customFormat="1" ht="15" customHeight="1">
      <c r="A69" s="361"/>
      <c r="B69" s="375"/>
      <c r="C69" s="372"/>
    </row>
    <row r="70" spans="1:4" s="364" customFormat="1" ht="15" customHeight="1">
      <c r="A70" s="361"/>
      <c r="B70" s="379" t="s">
        <v>51</v>
      </c>
      <c r="C70" s="366" t="s">
        <v>52</v>
      </c>
    </row>
    <row r="71" spans="1:4" s="364" customFormat="1" ht="15" customHeight="1">
      <c r="A71" s="361"/>
      <c r="B71" s="371"/>
      <c r="C71" s="369" t="s">
        <v>40</v>
      </c>
    </row>
    <row r="72" spans="1:4" s="364" customFormat="1" ht="15" customHeight="1">
      <c r="A72" s="361"/>
      <c r="B72" s="371"/>
      <c r="C72" s="372"/>
    </row>
    <row r="73" spans="1:4" s="364" customFormat="1" ht="15" customHeight="1">
      <c r="B73" s="360" t="s">
        <v>53</v>
      </c>
      <c r="C73" s="371"/>
    </row>
    <row r="74" spans="1:4" s="364" customFormat="1" ht="15" customHeight="1">
      <c r="A74" s="361"/>
      <c r="B74" s="371"/>
      <c r="C74" s="371"/>
    </row>
    <row r="75" spans="1:4" ht="15" customHeight="1">
      <c r="A75" s="361"/>
      <c r="B75" s="362" t="s">
        <v>54</v>
      </c>
      <c r="C75" s="9" t="s">
        <v>55</v>
      </c>
    </row>
    <row r="76" spans="1:4" s="364" customFormat="1" ht="15" customHeight="1">
      <c r="A76" s="361"/>
      <c r="B76" s="371"/>
      <c r="C76" s="371"/>
    </row>
    <row r="77" spans="1:4" s="364" customFormat="1" ht="15" customHeight="1">
      <c r="A77" s="361"/>
      <c r="B77" s="362" t="s">
        <v>56</v>
      </c>
      <c r="C77" s="371" t="s">
        <v>57</v>
      </c>
      <c r="D77" s="367"/>
    </row>
    <row r="80" spans="1:4">
      <c r="C80" s="3"/>
    </row>
    <row r="84" spans="3:3">
      <c r="C84" s="3"/>
    </row>
  </sheetData>
  <hyperlinks>
    <hyperlink ref="B21" location="Scope!A1" display="Scope" xr:uid="{716A6CCD-2B0F-4D50-8503-2CDFBEC901C4}"/>
    <hyperlink ref="B75" location="Glossary!A1" display="Glossary" xr:uid="{150C909B-46CB-404A-9C52-458403192474}"/>
    <hyperlink ref="B23" location="Input!A1" display="Input" xr:uid="{60175224-5DFD-4ECD-AC74-2B4F2435DD0C}"/>
    <hyperlink ref="B38" location="ERFs!A1" display="ERFs" xr:uid="{51A8DCF1-AA91-4BDC-ACB6-3B53D6DC65AA}"/>
    <hyperlink ref="B41" location="Costs!A1" display="Costs" xr:uid="{DBA3EAF2-1F8F-4363-AA41-C297C6BF8BE9}"/>
    <hyperlink ref="B44" location="'Annual incs'!A1" display="Annual incs" xr:uid="{919410F5-CD99-4AB5-A56B-0BDDB2FA74DF}"/>
    <hyperlink ref="B53" location="'Indoor impacts per HH'!A1" display="Indoor impacts per HH" xr:uid="{668DC4E8-4541-4F31-8C57-595D7C3C455B}"/>
    <hyperlink ref="B47" location="'HH comp &amp; Health'!A1" display="HH comp &amp; Health" xr:uid="{C2C5DA65-0681-4E92-A207-EAC24EB7DA99}"/>
    <hyperlink ref="B61" location="'Fuel use'!A1" display="Fuel use" xr:uid="{B491C764-FBB8-49E7-AAEB-3044CBCAA64E}"/>
    <hyperlink ref="B64" location="'Damage costs'!A1" display="Damage costs" xr:uid="{20EA3B25-38B3-4237-B0F9-A72B1F9A93CD}"/>
    <hyperlink ref="B70" location="'Outdoor impacts NZ'!A1" display="Outdoor impacts NZ" xr:uid="{BECF0B72-ABEB-4CCA-8DBC-069D980A61BA}"/>
    <hyperlink ref="B29" location="Results!A1" display="Results" xr:uid="{F5617BEC-B373-45AB-B868-B6332E4B97B4}"/>
    <hyperlink ref="B33" location="'Report tables'!A1" display="Report tables" xr:uid="{91EA3FE0-3C4C-47A7-8809-26B8D84564B9}"/>
    <hyperlink ref="B77" location="References!A1" display="References" xr:uid="{608951A7-DCE6-4AD7-A420-F03DDDC6ADBA}"/>
    <hyperlink ref="B56" location="'Indoor impacts NZ'!A1" display="Indoor impacts NZ" xr:uid="{A788C2F5-1D2A-4D4E-AF1D-9B760B54B646}"/>
    <hyperlink ref="B50" location="'NZ Nat Data'!A1" display="NZ nat data" xr:uid="{2D40370E-43A9-4BA1-8CE4-1CAD451A76BC}"/>
    <hyperlink ref="B67" location="'Outdoor impacts per HH'!A1" display="Outdoor impacts per HH" xr:uid="{199C5496-FBFB-4F67-B4F3-33A5CB06A58B}"/>
  </hyperlinks>
  <pageMargins left="0.23622047244094488" right="0.23622047244094488" top="0.15748031496062992" bottom="0.15748031496062992" header="0.31496062992125984" footer="0.31496062992125984"/>
  <pageSetup paperSize="9" scale="54"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BC08-3E5F-4F5E-A5BA-49F8B1755441}">
  <sheetPr>
    <tabColor theme="0" tint="-0.249977111117893"/>
  </sheetPr>
  <dimension ref="A1:L74"/>
  <sheetViews>
    <sheetView workbookViewId="0">
      <selection activeCell="J46" sqref="J46"/>
    </sheetView>
  </sheetViews>
  <sheetFormatPr defaultRowHeight="14.45"/>
  <cols>
    <col min="1" max="1" width="4.42578125" customWidth="1"/>
    <col min="2" max="2" width="54.85546875" customWidth="1"/>
    <col min="3" max="3" width="8.85546875" bestFit="1" customWidth="1"/>
    <col min="4" max="4" width="23" customWidth="1"/>
    <col min="5" max="5" width="79.7109375" style="1" customWidth="1"/>
    <col min="6" max="6" width="10.140625" style="1" customWidth="1"/>
    <col min="7" max="7" width="46.140625" bestFit="1" customWidth="1"/>
    <col min="10" max="10" width="76.5703125" bestFit="1" customWidth="1"/>
  </cols>
  <sheetData>
    <row r="1" spans="1:12" ht="18.600000000000001">
      <c r="A1" s="579" t="s">
        <v>410</v>
      </c>
      <c r="B1" s="579"/>
      <c r="C1" s="579"/>
      <c r="D1" s="579"/>
      <c r="E1" s="579"/>
    </row>
    <row r="2" spans="1:12" ht="18.600000000000001">
      <c r="A2" s="4" t="s">
        <v>411</v>
      </c>
      <c r="B2" s="184"/>
    </row>
    <row r="3" spans="1:12">
      <c r="A3" s="437" t="s">
        <v>412</v>
      </c>
    </row>
    <row r="4" spans="1:12">
      <c r="A4" s="380" t="s">
        <v>59</v>
      </c>
    </row>
    <row r="5" spans="1:12">
      <c r="A5" s="380"/>
    </row>
    <row r="6" spans="1:12">
      <c r="A6" s="380"/>
    </row>
    <row r="7" spans="1:12" ht="18.600000000000001">
      <c r="A7" s="607" t="s">
        <v>413</v>
      </c>
      <c r="B7" s="607"/>
      <c r="E7" s="608" t="s">
        <v>414</v>
      </c>
      <c r="G7" s="607" t="s">
        <v>415</v>
      </c>
      <c r="H7" s="579"/>
    </row>
    <row r="8" spans="1:12">
      <c r="A8" s="438" t="s">
        <v>416</v>
      </c>
      <c r="B8" s="448"/>
      <c r="G8" s="438" t="s">
        <v>417</v>
      </c>
    </row>
    <row r="10" spans="1:12">
      <c r="B10" s="585" t="s">
        <v>418</v>
      </c>
      <c r="C10" s="610" t="s">
        <v>419</v>
      </c>
      <c r="D10" s="610" t="s">
        <v>420</v>
      </c>
      <c r="E10" s="624" t="s">
        <v>421</v>
      </c>
      <c r="F10" s="2"/>
      <c r="G10" s="384" t="s">
        <v>422</v>
      </c>
      <c r="H10" s="580"/>
      <c r="I10" s="595"/>
      <c r="J10" s="2"/>
    </row>
    <row r="11" spans="1:12">
      <c r="B11" s="586" t="s">
        <v>423</v>
      </c>
      <c r="C11" s="587">
        <v>1664313</v>
      </c>
      <c r="D11" s="586"/>
      <c r="E11" s="586" t="s">
        <v>424</v>
      </c>
      <c r="F11" s="2"/>
      <c r="K11" s="2"/>
      <c r="L11" s="2"/>
    </row>
    <row r="12" spans="1:12">
      <c r="B12" s="586" t="s">
        <v>425</v>
      </c>
      <c r="C12" s="587">
        <v>1526637</v>
      </c>
      <c r="D12" s="587"/>
      <c r="E12" s="586" t="s">
        <v>426</v>
      </c>
      <c r="F12" s="2"/>
      <c r="G12" s="436" t="s">
        <v>427</v>
      </c>
      <c r="H12" s="176">
        <v>16.798378903803201</v>
      </c>
      <c r="I12" s="177" t="s">
        <v>428</v>
      </c>
      <c r="J12" s="2" t="s">
        <v>429</v>
      </c>
    </row>
    <row r="13" spans="1:12">
      <c r="B13" s="586" t="s">
        <v>430</v>
      </c>
      <c r="C13" s="587">
        <v>276666</v>
      </c>
      <c r="D13" s="588">
        <f>C13/$C$12</f>
        <v>0.18122579237893488</v>
      </c>
      <c r="E13" s="586"/>
      <c r="F13" s="2"/>
      <c r="G13" s="436" t="s">
        <v>431</v>
      </c>
      <c r="H13" s="176">
        <v>11</v>
      </c>
      <c r="I13" s="177" t="s">
        <v>428</v>
      </c>
      <c r="J13" s="2" t="s">
        <v>432</v>
      </c>
    </row>
    <row r="14" spans="1:12">
      <c r="B14" s="586" t="s">
        <v>433</v>
      </c>
      <c r="C14" s="587">
        <v>513561</v>
      </c>
      <c r="D14" s="588">
        <f>C14/$C$12</f>
        <v>0.33640020515682512</v>
      </c>
      <c r="E14" s="586"/>
      <c r="F14" s="2"/>
      <c r="G14" s="436"/>
      <c r="H14" s="176"/>
      <c r="I14" s="177"/>
      <c r="J14" s="2"/>
    </row>
    <row r="15" spans="1:12">
      <c r="B15" s="586"/>
      <c r="C15" s="587"/>
      <c r="D15" s="589"/>
      <c r="E15" s="586"/>
      <c r="F15" s="2"/>
      <c r="G15" s="436" t="s">
        <v>434</v>
      </c>
      <c r="H15" s="176">
        <v>16.798378903803201</v>
      </c>
      <c r="I15" s="177" t="s">
        <v>428</v>
      </c>
      <c r="J15" s="2" t="s">
        <v>429</v>
      </c>
    </row>
    <row r="16" spans="1:12">
      <c r="B16" s="586" t="s">
        <v>435</v>
      </c>
      <c r="C16" s="587">
        <v>1793613</v>
      </c>
      <c r="D16" s="589"/>
      <c r="E16" s="586"/>
      <c r="F16" s="2"/>
      <c r="G16" s="436" t="s">
        <v>436</v>
      </c>
      <c r="H16" s="176">
        <v>16</v>
      </c>
      <c r="I16" s="177" t="s">
        <v>428</v>
      </c>
      <c r="J16" s="2" t="s">
        <v>432</v>
      </c>
    </row>
    <row r="17" spans="2:10">
      <c r="B17" s="586" t="s">
        <v>437</v>
      </c>
      <c r="C17" s="587">
        <v>1635357</v>
      </c>
      <c r="D17" s="589"/>
      <c r="E17" s="586"/>
      <c r="F17" s="2"/>
      <c r="G17" s="596"/>
      <c r="H17" s="176"/>
      <c r="I17" s="177"/>
      <c r="J17" s="2"/>
    </row>
    <row r="18" spans="2:10">
      <c r="B18" s="586" t="s">
        <v>438</v>
      </c>
      <c r="C18" s="587">
        <v>201618</v>
      </c>
      <c r="D18" s="588">
        <f>C18/$C$17</f>
        <v>0.1232868419556097</v>
      </c>
      <c r="E18" s="586"/>
      <c r="F18" s="2"/>
      <c r="G18" s="154" t="s">
        <v>439</v>
      </c>
      <c r="H18" s="176">
        <v>17.537727685325301</v>
      </c>
      <c r="I18" s="177" t="s">
        <v>428</v>
      </c>
      <c r="J18" s="2" t="s">
        <v>440</v>
      </c>
    </row>
    <row r="19" spans="2:10">
      <c r="B19" s="586" t="s">
        <v>441</v>
      </c>
      <c r="C19" s="587">
        <v>478545</v>
      </c>
      <c r="D19" s="588">
        <f>C19/$C$17</f>
        <v>0.2926241793076374</v>
      </c>
      <c r="E19" s="586"/>
      <c r="F19" s="2"/>
      <c r="G19" s="436" t="s">
        <v>436</v>
      </c>
      <c r="H19" s="176">
        <v>16</v>
      </c>
      <c r="I19" s="177" t="s">
        <v>428</v>
      </c>
      <c r="J19" s="2" t="s">
        <v>432</v>
      </c>
    </row>
    <row r="20" spans="2:10">
      <c r="B20" s="586"/>
      <c r="C20" s="587"/>
      <c r="D20" s="589"/>
      <c r="E20" s="586"/>
      <c r="F20" s="2"/>
      <c r="G20" s="596"/>
      <c r="H20" s="176"/>
      <c r="I20" s="177"/>
      <c r="J20" s="2"/>
    </row>
    <row r="21" spans="2:10">
      <c r="B21" s="586" t="s">
        <v>442</v>
      </c>
      <c r="C21" s="587">
        <f>C11</f>
        <v>1664313</v>
      </c>
      <c r="D21" s="589"/>
      <c r="E21" s="586"/>
      <c r="F21" s="2"/>
      <c r="G21" s="154" t="s">
        <v>443</v>
      </c>
      <c r="H21" s="176">
        <v>17.537727685325301</v>
      </c>
      <c r="I21" s="177" t="s">
        <v>428</v>
      </c>
      <c r="J21" s="2" t="s">
        <v>444</v>
      </c>
    </row>
    <row r="22" spans="2:10">
      <c r="B22" s="586" t="s">
        <v>445</v>
      </c>
      <c r="C22" s="587">
        <v>1529661</v>
      </c>
      <c r="D22" s="589"/>
      <c r="E22" s="586"/>
      <c r="F22" s="2"/>
      <c r="G22" s="436" t="s">
        <v>436</v>
      </c>
      <c r="H22" s="176">
        <v>16</v>
      </c>
      <c r="I22" s="177" t="s">
        <v>428</v>
      </c>
      <c r="J22" s="2" t="s">
        <v>432</v>
      </c>
    </row>
    <row r="23" spans="2:10">
      <c r="B23" s="586" t="s">
        <v>446</v>
      </c>
      <c r="C23" s="587">
        <v>96570</v>
      </c>
      <c r="D23" s="590">
        <f>C23/$C$22</f>
        <v>6.3131635048549975E-2</v>
      </c>
      <c r="E23" s="586"/>
      <c r="F23" s="2"/>
    </row>
    <row r="24" spans="2:10">
      <c r="B24" s="586" t="s">
        <v>447</v>
      </c>
      <c r="C24" s="587">
        <v>494841</v>
      </c>
      <c r="D24" s="588">
        <f t="shared" ref="D24:D25" si="0">C24/$C$22</f>
        <v>0.32349716701935921</v>
      </c>
      <c r="E24" s="586"/>
      <c r="F24" s="2"/>
      <c r="G24" s="596" t="s">
        <v>448</v>
      </c>
      <c r="H24" s="176">
        <v>19</v>
      </c>
      <c r="I24" s="177" t="s">
        <v>428</v>
      </c>
      <c r="J24" s="2" t="s">
        <v>449</v>
      </c>
    </row>
    <row r="25" spans="2:10">
      <c r="B25" s="586" t="s">
        <v>450</v>
      </c>
      <c r="C25" s="587">
        <v>15093</v>
      </c>
      <c r="D25" s="590">
        <f t="shared" si="0"/>
        <v>9.8668920760874475E-3</v>
      </c>
      <c r="E25" s="586"/>
      <c r="F25" s="2"/>
      <c r="G25" s="596" t="s">
        <v>451</v>
      </c>
      <c r="H25" s="176">
        <v>26</v>
      </c>
      <c r="I25" s="177" t="s">
        <v>428</v>
      </c>
      <c r="J25" s="2" t="s">
        <v>449</v>
      </c>
    </row>
    <row r="26" spans="2:10">
      <c r="B26" s="586"/>
      <c r="C26" s="587"/>
      <c r="D26" s="589"/>
      <c r="E26" s="586"/>
      <c r="F26" s="2"/>
      <c r="G26" s="596" t="s">
        <v>452</v>
      </c>
      <c r="H26" s="597">
        <v>23</v>
      </c>
      <c r="I26" s="177" t="s">
        <v>428</v>
      </c>
      <c r="J26" s="2" t="s">
        <v>449</v>
      </c>
    </row>
    <row r="27" spans="2:10">
      <c r="B27" s="586" t="s">
        <v>453</v>
      </c>
      <c r="C27" s="587">
        <f>C16</f>
        <v>1793613</v>
      </c>
      <c r="D27" s="589"/>
      <c r="E27" s="586"/>
      <c r="F27" s="2"/>
    </row>
    <row r="28" spans="2:10">
      <c r="B28" s="586" t="s">
        <v>454</v>
      </c>
      <c r="C28" s="587">
        <v>1639005</v>
      </c>
      <c r="D28" s="589"/>
      <c r="E28" s="586"/>
      <c r="F28" s="2"/>
      <c r="G28" s="596" t="s">
        <v>455</v>
      </c>
      <c r="H28" s="598">
        <v>19.554584812129427</v>
      </c>
      <c r="I28" s="177" t="s">
        <v>428</v>
      </c>
      <c r="J28" s="2" t="s">
        <v>456</v>
      </c>
    </row>
    <row r="29" spans="2:10">
      <c r="B29" s="586" t="s">
        <v>457</v>
      </c>
      <c r="C29" s="587">
        <v>40797</v>
      </c>
      <c r="D29" s="590">
        <f>C29/$C$28</f>
        <v>2.4891321258934538E-2</v>
      </c>
      <c r="E29" s="586"/>
      <c r="F29" s="2"/>
      <c r="G29" s="596"/>
      <c r="H29" s="176"/>
      <c r="I29" s="177"/>
      <c r="J29" s="2"/>
    </row>
    <row r="30" spans="2:10">
      <c r="B30" s="586" t="s">
        <v>458</v>
      </c>
      <c r="C30" s="587">
        <v>462549</v>
      </c>
      <c r="D30" s="588">
        <f t="shared" ref="D30:D31" si="1">C30/$C$28</f>
        <v>0.28221329404120182</v>
      </c>
      <c r="E30" s="586"/>
      <c r="F30" s="2"/>
      <c r="G30" s="154" t="s">
        <v>459</v>
      </c>
      <c r="H30" s="598">
        <v>10.641598624838799</v>
      </c>
      <c r="I30" s="177" t="s">
        <v>428</v>
      </c>
      <c r="J30" s="2" t="s">
        <v>460</v>
      </c>
    </row>
    <row r="31" spans="2:10">
      <c r="B31" s="586" t="s">
        <v>461</v>
      </c>
      <c r="C31" s="587">
        <v>14193</v>
      </c>
      <c r="D31" s="590">
        <f t="shared" si="1"/>
        <v>8.6595220880961322E-3</v>
      </c>
      <c r="E31" s="586"/>
      <c r="F31" s="2"/>
      <c r="G31" s="154" t="s">
        <v>462</v>
      </c>
      <c r="H31" s="176">
        <v>5.8</v>
      </c>
      <c r="I31" s="177" t="s">
        <v>428</v>
      </c>
      <c r="J31" s="2" t="s">
        <v>432</v>
      </c>
    </row>
    <row r="32" spans="2:10" ht="15" thickBot="1">
      <c r="B32" s="586"/>
      <c r="C32" s="587"/>
      <c r="D32" s="591"/>
      <c r="E32" s="586"/>
      <c r="F32" s="2"/>
    </row>
    <row r="33" spans="2:10" ht="15" thickBot="1">
      <c r="B33" s="586" t="s">
        <v>463</v>
      </c>
      <c r="C33" s="587">
        <v>1175217</v>
      </c>
      <c r="D33" s="591"/>
      <c r="E33" s="592" t="s">
        <v>464</v>
      </c>
      <c r="F33" s="92"/>
      <c r="G33" s="384" t="s">
        <v>465</v>
      </c>
      <c r="H33" s="609">
        <f>H38</f>
        <v>2474.2876957569802</v>
      </c>
      <c r="I33" s="568" t="s">
        <v>466</v>
      </c>
    </row>
    <row r="34" spans="2:10">
      <c r="B34" s="593" t="s">
        <v>467</v>
      </c>
      <c r="C34" s="662">
        <v>2034500</v>
      </c>
      <c r="D34" s="591"/>
      <c r="E34" s="592" t="s">
        <v>468</v>
      </c>
      <c r="F34" s="92"/>
      <c r="G34" s="436" t="s">
        <v>427</v>
      </c>
      <c r="H34" s="580">
        <v>2309.4805739832659</v>
      </c>
      <c r="I34" s="177" t="s">
        <v>469</v>
      </c>
      <c r="J34" s="2" t="s">
        <v>429</v>
      </c>
    </row>
    <row r="35" spans="2:10">
      <c r="B35" s="586" t="s">
        <v>470</v>
      </c>
      <c r="C35" s="587">
        <f>(C27-C21)*7/5+C21</f>
        <v>1845333</v>
      </c>
      <c r="D35" s="591"/>
      <c r="E35" s="586" t="s">
        <v>471</v>
      </c>
      <c r="F35" s="2"/>
      <c r="G35" s="436" t="s">
        <v>434</v>
      </c>
      <c r="H35" s="580">
        <v>2309.4805739832659</v>
      </c>
      <c r="I35" s="177" t="s">
        <v>469</v>
      </c>
      <c r="J35" s="2" t="s">
        <v>429</v>
      </c>
    </row>
    <row r="36" spans="2:10" ht="15" thickBot="1">
      <c r="B36" s="2"/>
      <c r="C36" s="580"/>
      <c r="D36" s="177"/>
      <c r="E36" s="2"/>
      <c r="F36" s="2"/>
      <c r="G36" s="154" t="s">
        <v>439</v>
      </c>
      <c r="H36" s="580">
        <v>2411.1279804444275</v>
      </c>
      <c r="I36" s="177" t="s">
        <v>469</v>
      </c>
      <c r="J36" s="2" t="s">
        <v>440</v>
      </c>
    </row>
    <row r="37" spans="2:10" ht="15" thickBot="1">
      <c r="B37" s="384" t="s">
        <v>472</v>
      </c>
      <c r="C37" s="609">
        <f>C39</f>
        <v>360099</v>
      </c>
      <c r="D37" s="568" t="s">
        <v>473</v>
      </c>
      <c r="E37" s="2"/>
      <c r="F37" s="2"/>
      <c r="G37" s="154" t="s">
        <v>443</v>
      </c>
      <c r="H37" s="580">
        <v>2411.1279804444275</v>
      </c>
      <c r="I37" s="177" t="s">
        <v>469</v>
      </c>
      <c r="J37" s="2" t="s">
        <v>444</v>
      </c>
    </row>
    <row r="38" spans="2:10">
      <c r="B38" s="2" t="s">
        <v>474</v>
      </c>
      <c r="C38" s="580">
        <f>D38*C33</f>
        <v>364317.27</v>
      </c>
      <c r="D38" s="594">
        <v>0.31</v>
      </c>
      <c r="E38" s="90" t="s">
        <v>475</v>
      </c>
      <c r="F38" s="92"/>
      <c r="G38" s="596" t="s">
        <v>455</v>
      </c>
      <c r="H38" s="581">
        <v>2474.2876957569802</v>
      </c>
      <c r="I38" s="177" t="s">
        <v>469</v>
      </c>
      <c r="J38" s="2" t="s">
        <v>476</v>
      </c>
    </row>
    <row r="39" spans="2:10" ht="15" thickBot="1">
      <c r="B39" s="2" t="s">
        <v>477</v>
      </c>
      <c r="C39" s="581">
        <v>360099</v>
      </c>
      <c r="D39" s="661">
        <f>C39/C34</f>
        <v>0.17699631359056278</v>
      </c>
      <c r="E39" s="90" t="s">
        <v>478</v>
      </c>
      <c r="F39" s="92"/>
    </row>
    <row r="40" spans="2:10" ht="15" thickBot="1">
      <c r="B40" s="2" t="s">
        <v>479</v>
      </c>
      <c r="C40" s="663">
        <f>D40*C35</f>
        <v>419443.78939484479</v>
      </c>
      <c r="D40" s="582">
        <v>0.2272997824213</v>
      </c>
      <c r="E40" s="2" t="s">
        <v>480</v>
      </c>
      <c r="F40" s="2"/>
      <c r="H40" s="609">
        <f>H42</f>
        <v>1463.0319652230276</v>
      </c>
      <c r="I40" s="568" t="s">
        <v>481</v>
      </c>
    </row>
    <row r="41" spans="2:10" ht="15" thickBot="1">
      <c r="B41" s="2"/>
      <c r="C41" s="2"/>
      <c r="D41" s="584"/>
      <c r="E41" s="2"/>
      <c r="F41" s="2"/>
    </row>
    <row r="42" spans="2:10" ht="15" thickBot="1">
      <c r="B42" s="384" t="s">
        <v>482</v>
      </c>
      <c r="C42" s="609">
        <f>C44</f>
        <v>44645.397397201348</v>
      </c>
      <c r="D42" s="568" t="s">
        <v>483</v>
      </c>
      <c r="E42" s="2"/>
      <c r="F42" s="2"/>
      <c r="G42" s="154" t="s">
        <v>459</v>
      </c>
      <c r="H42" s="581">
        <v>1463.0319652230276</v>
      </c>
      <c r="I42" s="177" t="s">
        <v>469</v>
      </c>
      <c r="J42" s="2" t="s">
        <v>460</v>
      </c>
    </row>
    <row r="43" spans="2:10" ht="15" thickBot="1">
      <c r="B43" s="2" t="s">
        <v>484</v>
      </c>
      <c r="C43" s="580">
        <f>C23*C21/C22</f>
        <v>105070.80092255735</v>
      </c>
      <c r="D43" s="583">
        <f>C43/C21</f>
        <v>6.3131635048549975E-2</v>
      </c>
      <c r="E43" s="2" t="s">
        <v>485</v>
      </c>
      <c r="F43" s="2"/>
    </row>
    <row r="44" spans="2:10" ht="15" thickBot="1">
      <c r="B44" s="2" t="s">
        <v>486</v>
      </c>
      <c r="C44" s="581">
        <f>C29*C27/C28</f>
        <v>44645.397397201348</v>
      </c>
      <c r="D44" s="583">
        <f>C44/C27</f>
        <v>2.4891321258934535E-2</v>
      </c>
      <c r="E44" s="2" t="s">
        <v>487</v>
      </c>
      <c r="F44" s="2"/>
      <c r="G44" s="384" t="s">
        <v>472</v>
      </c>
      <c r="H44" s="692"/>
      <c r="I44" s="568"/>
      <c r="J44" s="2"/>
    </row>
    <row r="45" spans="2:10">
      <c r="B45" s="2" t="s">
        <v>488</v>
      </c>
      <c r="C45" s="580">
        <f>D45*C33</f>
        <v>70513.02</v>
      </c>
      <c r="D45" s="584">
        <v>0.06</v>
      </c>
      <c r="E45" s="90" t="s">
        <v>475</v>
      </c>
      <c r="F45" s="92"/>
      <c r="G45" s="480" t="s">
        <v>489</v>
      </c>
      <c r="H45" s="480">
        <f>0.2*365</f>
        <v>73</v>
      </c>
      <c r="I45" s="690" t="s">
        <v>490</v>
      </c>
      <c r="J45" s="480" t="s">
        <v>491</v>
      </c>
    </row>
    <row r="46" spans="2:10" ht="15">
      <c r="B46" s="2" t="s">
        <v>492</v>
      </c>
      <c r="C46" s="663">
        <f>D46*C35</f>
        <v>200702.52419613811</v>
      </c>
      <c r="D46" s="582">
        <v>0.1087622256775</v>
      </c>
      <c r="E46" s="2" t="s">
        <v>480</v>
      </c>
      <c r="F46" s="2"/>
      <c r="G46" s="102"/>
      <c r="H46" s="580"/>
      <c r="I46" s="594"/>
      <c r="J46" s="691" t="s">
        <v>493</v>
      </c>
    </row>
    <row r="47" spans="2:10" ht="15" thickBot="1">
      <c r="B47" s="2"/>
      <c r="C47" s="2"/>
      <c r="D47" s="584"/>
      <c r="E47" s="2"/>
      <c r="F47" s="2"/>
      <c r="G47" s="384" t="s">
        <v>482</v>
      </c>
      <c r="H47" s="2"/>
      <c r="I47" s="584"/>
      <c r="J47" s="2"/>
    </row>
    <row r="48" spans="2:10" ht="15" thickBot="1">
      <c r="B48" s="384" t="s">
        <v>494</v>
      </c>
      <c r="C48" s="609">
        <f>C50</f>
        <v>506181.43296512211</v>
      </c>
      <c r="D48" s="568" t="s">
        <v>495</v>
      </c>
      <c r="E48" s="2"/>
      <c r="F48" s="2"/>
      <c r="G48" s="2" t="s">
        <v>496</v>
      </c>
      <c r="H48" s="102" t="s">
        <v>154</v>
      </c>
      <c r="I48" s="584"/>
      <c r="J48" s="2" t="s">
        <v>497</v>
      </c>
    </row>
    <row r="49" spans="2:6">
      <c r="B49" s="2" t="s">
        <v>498</v>
      </c>
      <c r="C49" s="580">
        <f>C24*C21/C22</f>
        <v>538400.54053349071</v>
      </c>
      <c r="D49" s="582">
        <f>C49/C21</f>
        <v>0.32349716701935916</v>
      </c>
      <c r="E49" s="2" t="s">
        <v>485</v>
      </c>
      <c r="F49" s="2"/>
    </row>
    <row r="50" spans="2:6">
      <c r="B50" s="2" t="s">
        <v>499</v>
      </c>
      <c r="C50" s="581">
        <f>C30*C27/C28</f>
        <v>506181.43296512211</v>
      </c>
      <c r="D50" s="582">
        <f>C50/C27</f>
        <v>0.28221329404120182</v>
      </c>
      <c r="E50" s="2" t="s">
        <v>487</v>
      </c>
      <c r="F50" s="2"/>
    </row>
    <row r="51" spans="2:6">
      <c r="B51" s="2" t="s">
        <v>500</v>
      </c>
      <c r="C51" s="580">
        <f>C33*D51</f>
        <v>387821.61000000004</v>
      </c>
      <c r="D51" s="582">
        <v>0.33</v>
      </c>
      <c r="E51" s="90" t="s">
        <v>475</v>
      </c>
      <c r="F51" s="2"/>
    </row>
    <row r="52" spans="2:6" ht="15" thickBot="1">
      <c r="B52" s="2" t="s">
        <v>501</v>
      </c>
      <c r="C52" s="663">
        <f>D52*C35</f>
        <v>461176.11843428435</v>
      </c>
      <c r="D52" s="582">
        <v>0.24991484920839999</v>
      </c>
      <c r="E52" s="2" t="s">
        <v>480</v>
      </c>
      <c r="F52" s="92"/>
    </row>
    <row r="53" spans="2:6" ht="15" thickBot="1">
      <c r="B53" s="2"/>
      <c r="C53" s="609">
        <f>C55</f>
        <v>15531.831390996367</v>
      </c>
      <c r="D53" s="568" t="s">
        <v>502</v>
      </c>
      <c r="E53" s="90"/>
      <c r="F53" s="2"/>
    </row>
    <row r="54" spans="2:6">
      <c r="B54" s="2" t="s">
        <v>503</v>
      </c>
      <c r="C54" s="580">
        <f>C25*C21/C22</f>
        <v>16421.596751829326</v>
      </c>
      <c r="D54" s="584">
        <f>C54/C21</f>
        <v>9.8668920760874457E-3</v>
      </c>
      <c r="E54" s="2" t="s">
        <v>485</v>
      </c>
      <c r="F54" s="92"/>
    </row>
    <row r="55" spans="2:6">
      <c r="B55" s="2" t="s">
        <v>504</v>
      </c>
      <c r="C55" s="581">
        <f>14193*1793613/1639005</f>
        <v>15531.831390996367</v>
      </c>
      <c r="D55" s="584">
        <f>C55/C27</f>
        <v>8.6595220880961322E-3</v>
      </c>
      <c r="E55" s="2" t="s">
        <v>487</v>
      </c>
      <c r="F55" s="2"/>
    </row>
    <row r="56" spans="2:6">
      <c r="B56" s="2" t="s">
        <v>505</v>
      </c>
      <c r="C56" s="580">
        <f>D56*C33</f>
        <v>35256.51</v>
      </c>
      <c r="D56" s="584">
        <v>0.03</v>
      </c>
      <c r="E56" s="90" t="s">
        <v>475</v>
      </c>
      <c r="F56" s="2"/>
    </row>
    <row r="57" spans="2:6" ht="15" thickBot="1">
      <c r="B57" s="2" t="s">
        <v>506</v>
      </c>
      <c r="C57" s="663">
        <f>D57*C35</f>
        <v>81739.67324292977</v>
      </c>
      <c r="D57" s="584">
        <v>4.4295351160429999E-2</v>
      </c>
      <c r="E57" s="2" t="s">
        <v>480</v>
      </c>
      <c r="F57" s="92"/>
    </row>
    <row r="58" spans="2:6" ht="15" thickBot="1">
      <c r="B58" s="2"/>
      <c r="C58" s="609">
        <f>C60</f>
        <v>1973.0777142229585</v>
      </c>
      <c r="D58" s="568" t="s">
        <v>507</v>
      </c>
      <c r="E58" s="2"/>
      <c r="F58" s="2"/>
    </row>
    <row r="59" spans="2:6">
      <c r="B59" s="2" t="s">
        <v>508</v>
      </c>
      <c r="C59" s="580">
        <f>(C14*C11/C12)-(C24+C25)*C21/C22</f>
        <v>5053.0973598510027</v>
      </c>
      <c r="D59" s="584">
        <f>C59/C27</f>
        <v>2.8172729344908866E-3</v>
      </c>
      <c r="E59" s="2" t="s">
        <v>485</v>
      </c>
      <c r="F59" s="2"/>
    </row>
    <row r="60" spans="2:6">
      <c r="B60" s="2" t="s">
        <v>509</v>
      </c>
      <c r="C60" s="581">
        <f>(C19-C30-C31)*C27/C28</f>
        <v>1973.0777142229585</v>
      </c>
      <c r="D60" s="584">
        <f>C60/C27</f>
        <v>1.1000576569321022E-3</v>
      </c>
      <c r="E60" s="2" t="s">
        <v>487</v>
      </c>
      <c r="F60" s="2"/>
    </row>
    <row r="61" spans="2:6">
      <c r="B61" s="2" t="s">
        <v>510</v>
      </c>
      <c r="C61" s="663">
        <f>D61*C35</f>
        <v>129951.06627365887</v>
      </c>
      <c r="D61" s="584">
        <v>7.0421472045240005E-2</v>
      </c>
      <c r="E61" s="2" t="s">
        <v>480</v>
      </c>
      <c r="F61" s="2"/>
    </row>
    <row r="62" spans="2:6">
      <c r="F62" s="2"/>
    </row>
    <row r="63" spans="2:6" ht="15" thickBot="1">
      <c r="F63" s="2"/>
    </row>
    <row r="64" spans="2:6">
      <c r="B64" s="652" t="s">
        <v>143</v>
      </c>
      <c r="C64" s="653"/>
      <c r="D64" s="654"/>
    </row>
    <row r="65" spans="2:5">
      <c r="B65" s="655" t="s">
        <v>65</v>
      </c>
      <c r="C65" s="664">
        <f>C37</f>
        <v>360099</v>
      </c>
      <c r="D65" s="656" t="s">
        <v>511</v>
      </c>
    </row>
    <row r="66" spans="2:5">
      <c r="B66" s="655" t="s">
        <v>66</v>
      </c>
      <c r="C66" s="664">
        <f>C58</f>
        <v>1973.0777142229585</v>
      </c>
      <c r="D66" s="665"/>
    </row>
    <row r="67" spans="2:5">
      <c r="B67" s="655" t="s">
        <v>67</v>
      </c>
      <c r="C67" s="664">
        <f>C48*D67</f>
        <v>101236.28659302443</v>
      </c>
      <c r="D67" s="669">
        <v>0.2</v>
      </c>
      <c r="E67" s="670" t="s">
        <v>512</v>
      </c>
    </row>
    <row r="68" spans="2:5">
      <c r="B68" s="655" t="s">
        <v>68</v>
      </c>
      <c r="C68" s="664">
        <f>C48*D68</f>
        <v>369512.44606453914</v>
      </c>
      <c r="D68" s="666">
        <v>0.73</v>
      </c>
      <c r="E68" s="670" t="s">
        <v>513</v>
      </c>
    </row>
    <row r="69" spans="2:5">
      <c r="B69" s="655" t="s">
        <v>69</v>
      </c>
      <c r="C69" s="664">
        <f>C48*D69</f>
        <v>35432.700307558553</v>
      </c>
      <c r="D69" s="666">
        <v>7.0000000000000007E-2</v>
      </c>
      <c r="E69" s="670" t="s">
        <v>514</v>
      </c>
    </row>
    <row r="70" spans="2:5">
      <c r="B70" s="655" t="s">
        <v>70</v>
      </c>
      <c r="C70" s="664">
        <f>C53</f>
        <v>15531.831390996367</v>
      </c>
      <c r="D70" s="665"/>
    </row>
    <row r="71" spans="2:5" ht="15" thickBot="1">
      <c r="B71" s="657" t="s">
        <v>71</v>
      </c>
      <c r="C71" s="667">
        <f>C42</f>
        <v>44645.397397201348</v>
      </c>
      <c r="D71" s="668"/>
    </row>
    <row r="73" spans="2:5">
      <c r="B73" s="114" t="s">
        <v>515</v>
      </c>
      <c r="C73" s="678">
        <f>SUM(C66:C70)</f>
        <v>523686.34207034146</v>
      </c>
    </row>
    <row r="74" spans="2:5">
      <c r="B74" s="679" t="s">
        <v>516</v>
      </c>
      <c r="C74" s="680">
        <f>C48+C53+C58</f>
        <v>523686.3420703414</v>
      </c>
    </row>
  </sheetData>
  <hyperlinks>
    <hyperlink ref="E39" r:id="rId1" xr:uid="{598355E0-7C8F-4210-8981-E601B207CE27}"/>
    <hyperlink ref="E34" r:id="rId2" xr:uid="{35C16894-D713-42A2-8135-DFA26369D25F}"/>
    <hyperlink ref="A4" location="Contents!A1" display="Back to Contents" xr:uid="{613C0576-20B9-406B-B64D-023FE3390D32}"/>
  </hyperlinks>
  <pageMargins left="0.7" right="0.7" top="0.75" bottom="0.75" header="0.3" footer="0.3"/>
  <pageSetup paperSize="9" orientation="portrait" horizontalDpi="0" verticalDpi="0"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4C5B-D139-45DB-B1C6-6FDBC970ED24}">
  <sheetPr>
    <tabColor theme="7" tint="0.79998168889431442"/>
    <pageSetUpPr fitToPage="1"/>
  </sheetPr>
  <dimension ref="A1:U80"/>
  <sheetViews>
    <sheetView workbookViewId="0">
      <selection activeCell="D75" sqref="D75"/>
    </sheetView>
  </sheetViews>
  <sheetFormatPr defaultRowHeight="14.45"/>
  <cols>
    <col min="2" max="2" width="66.140625" bestFit="1" customWidth="1"/>
    <col min="3" max="3" width="11.42578125" customWidth="1"/>
    <col min="4" max="4" width="11" bestFit="1" customWidth="1"/>
    <col min="5" max="6" width="11" customWidth="1"/>
    <col min="7" max="8" width="12.85546875" customWidth="1"/>
    <col min="9" max="16" width="16.42578125" customWidth="1"/>
    <col min="18" max="18" width="16.140625" bestFit="1" customWidth="1"/>
  </cols>
  <sheetData>
    <row r="1" spans="1:21" ht="18.600000000000001">
      <c r="A1" s="167" t="s">
        <v>35</v>
      </c>
      <c r="B1" s="167"/>
      <c r="C1" s="167"/>
      <c r="D1" s="167"/>
      <c r="E1" s="167"/>
      <c r="F1" s="167"/>
      <c r="G1" s="167"/>
      <c r="H1" s="167"/>
      <c r="I1" s="167"/>
      <c r="J1" s="167"/>
      <c r="K1" s="167"/>
      <c r="L1" s="167"/>
      <c r="M1" s="167"/>
      <c r="N1" s="167"/>
      <c r="O1" s="167"/>
      <c r="P1" s="167"/>
    </row>
    <row r="2" spans="1:21">
      <c r="A2" s="4" t="s">
        <v>517</v>
      </c>
      <c r="B2" s="4"/>
      <c r="C2" s="4"/>
    </row>
    <row r="3" spans="1:21">
      <c r="A3" s="438" t="s">
        <v>518</v>
      </c>
      <c r="B3" s="5"/>
      <c r="C3" s="5"/>
    </row>
    <row r="4" spans="1:21">
      <c r="A4" s="380" t="s">
        <v>59</v>
      </c>
      <c r="S4" s="9"/>
      <c r="T4" s="9"/>
      <c r="U4" s="9"/>
    </row>
    <row r="5" spans="1:21">
      <c r="A5" s="38"/>
      <c r="S5" s="9"/>
      <c r="T5" s="9"/>
      <c r="U5" s="9"/>
    </row>
    <row r="6" spans="1:21">
      <c r="R6" s="151" t="s">
        <v>519</v>
      </c>
      <c r="S6" s="208"/>
      <c r="U6" s="151"/>
    </row>
    <row r="7" spans="1:21" ht="15.6">
      <c r="A7" s="229" t="s">
        <v>140</v>
      </c>
      <c r="B7" s="230"/>
      <c r="S7" s="209"/>
      <c r="T7" s="209"/>
      <c r="U7" s="209"/>
    </row>
    <row r="8" spans="1:21">
      <c r="A8" s="220"/>
      <c r="S8" s="208"/>
      <c r="T8" s="151"/>
      <c r="U8" s="151"/>
    </row>
    <row r="9" spans="1:21">
      <c r="B9" s="494" t="s">
        <v>520</v>
      </c>
      <c r="C9" s="539"/>
      <c r="D9" s="540"/>
      <c r="E9" s="540"/>
      <c r="F9" s="540"/>
      <c r="G9" s="540"/>
      <c r="H9" s="548"/>
      <c r="I9" s="384"/>
      <c r="J9" s="384"/>
      <c r="K9" s="599" t="s">
        <v>521</v>
      </c>
      <c r="L9" s="599" t="s">
        <v>522</v>
      </c>
      <c r="M9" s="599" t="s">
        <v>523</v>
      </c>
      <c r="N9" s="599" t="s">
        <v>524</v>
      </c>
      <c r="O9" s="599" t="s">
        <v>525</v>
      </c>
      <c r="P9" s="384"/>
      <c r="S9" s="9"/>
      <c r="T9" s="9"/>
      <c r="U9" s="9"/>
    </row>
    <row r="10" spans="1:21">
      <c r="B10" s="477" t="s">
        <v>101</v>
      </c>
      <c r="C10" s="246" t="s">
        <v>526</v>
      </c>
      <c r="D10" s="14" t="s">
        <v>527</v>
      </c>
      <c r="E10" s="14" t="s">
        <v>528</v>
      </c>
      <c r="F10" s="14" t="s">
        <v>529</v>
      </c>
      <c r="G10" s="247" t="s">
        <v>530</v>
      </c>
      <c r="H10" s="247" t="s">
        <v>531</v>
      </c>
      <c r="I10" s="541" t="s">
        <v>64</v>
      </c>
      <c r="J10" s="541" t="s">
        <v>65</v>
      </c>
      <c r="K10" s="541" t="s">
        <v>532</v>
      </c>
      <c r="L10" s="541" t="s">
        <v>533</v>
      </c>
      <c r="M10" s="541" t="s">
        <v>534</v>
      </c>
      <c r="N10" s="541" t="s">
        <v>535</v>
      </c>
      <c r="O10" s="541" t="s">
        <v>536</v>
      </c>
      <c r="P10" s="541" t="s">
        <v>71</v>
      </c>
      <c r="S10" s="208"/>
      <c r="T10" s="151"/>
      <c r="U10" s="151"/>
    </row>
    <row r="11" spans="1:21" ht="15.6">
      <c r="B11" s="248" t="s">
        <v>537</v>
      </c>
      <c r="C11" s="16"/>
      <c r="D11" s="225"/>
      <c r="E11" s="223"/>
      <c r="F11" s="225"/>
      <c r="G11" s="225"/>
      <c r="H11" s="225"/>
      <c r="I11" s="542">
        <f>Input!$C$32</f>
        <v>0</v>
      </c>
      <c r="J11" s="542">
        <f>Input!$C$33</f>
        <v>0</v>
      </c>
      <c r="K11" s="543">
        <f>Input!$C$34</f>
        <v>17.534935092014717</v>
      </c>
      <c r="L11" s="544">
        <f>Input!$C$35</f>
        <v>2.1827720031553586</v>
      </c>
      <c r="M11" s="544">
        <f>Input!$C$36</f>
        <v>0.50931346740291705</v>
      </c>
      <c r="N11" s="544">
        <f>Input!$C$37</f>
        <v>0.50931346740291705</v>
      </c>
      <c r="O11" s="544">
        <f>Input!$C$38</f>
        <v>0.16977115580097232</v>
      </c>
      <c r="P11" s="542">
        <f>Input!$C$39</f>
        <v>0</v>
      </c>
      <c r="S11" s="208"/>
      <c r="T11" s="151"/>
      <c r="U11" s="151"/>
    </row>
    <row r="12" spans="1:21">
      <c r="B12" s="18" t="s">
        <v>108</v>
      </c>
      <c r="C12" s="19"/>
      <c r="D12" s="226"/>
      <c r="E12" s="224"/>
      <c r="F12" s="226"/>
      <c r="G12" s="226"/>
      <c r="H12" s="226"/>
      <c r="I12" s="2"/>
      <c r="J12" s="2"/>
      <c r="K12" s="2"/>
      <c r="L12" s="2"/>
      <c r="M12" s="2"/>
      <c r="N12" s="2"/>
      <c r="O12" s="2"/>
      <c r="P12" s="2"/>
      <c r="S12" s="208"/>
      <c r="T12" s="151"/>
      <c r="U12" s="151"/>
    </row>
    <row r="13" spans="1:21" ht="15">
      <c r="A13" s="234"/>
      <c r="B13" s="22" t="s">
        <v>109</v>
      </c>
      <c r="C13" s="23">
        <f>Input!$C$11</f>
        <v>1.105</v>
      </c>
      <c r="D13" s="55">
        <v>10</v>
      </c>
      <c r="E13" s="231">
        <f>'HH comp &amp; Health'!$C$21</f>
        <v>29690</v>
      </c>
      <c r="F13" s="236">
        <f>'HH comp &amp; Health'!$C$37</f>
        <v>2790940</v>
      </c>
      <c r="G13" s="55">
        <f>Input!$C$53</f>
        <v>2</v>
      </c>
      <c r="H13" s="250">
        <f>Input!$H$11</f>
        <v>15691757</v>
      </c>
      <c r="I13" s="547">
        <f>IF(I$11&gt;0,$E13/(1+(1/(($C13-1)*I$11/$D13)))*$G13/$F13,0)</f>
        <v>0</v>
      </c>
      <c r="J13" s="547">
        <f t="shared" ref="J13:P18" si="0">IF(J$11&gt;0,$E13/(1+(1/(($C13-1)*J$11/$D13)))*$G13/$F13,0)</f>
        <v>0</v>
      </c>
      <c r="K13" s="604">
        <f t="shared" si="0"/>
        <v>3.3081759897004392E-3</v>
      </c>
      <c r="L13" s="604">
        <f t="shared" si="0"/>
        <v>4.7670101497267837E-4</v>
      </c>
      <c r="M13" s="604">
        <f t="shared" si="0"/>
        <v>1.1317430185982377E-4</v>
      </c>
      <c r="N13" s="604">
        <f t="shared" si="0"/>
        <v>1.1317430185982377E-4</v>
      </c>
      <c r="O13" s="604">
        <f t="shared" si="0"/>
        <v>3.7859024085059499E-5</v>
      </c>
      <c r="P13" s="547">
        <f t="shared" si="0"/>
        <v>0</v>
      </c>
      <c r="S13" s="208"/>
      <c r="T13" s="151"/>
      <c r="U13" s="151"/>
    </row>
    <row r="14" spans="1:21">
      <c r="A14" s="235"/>
      <c r="B14" s="25" t="s">
        <v>112</v>
      </c>
      <c r="C14" s="23"/>
      <c r="D14" s="225"/>
      <c r="E14" s="232"/>
      <c r="F14" s="236"/>
      <c r="G14" s="225"/>
      <c r="H14" s="225"/>
      <c r="I14" s="547"/>
      <c r="J14" s="547"/>
      <c r="K14" s="604"/>
      <c r="L14" s="604"/>
      <c r="M14" s="604"/>
      <c r="N14" s="604"/>
      <c r="O14" s="604"/>
      <c r="P14" s="547"/>
      <c r="S14" s="210"/>
      <c r="T14" s="151"/>
      <c r="U14" s="151"/>
    </row>
    <row r="15" spans="1:21" ht="15">
      <c r="A15" s="234"/>
      <c r="B15" s="22" t="s">
        <v>113</v>
      </c>
      <c r="C15" s="23">
        <f>Input!$C$13</f>
        <v>1.105</v>
      </c>
      <c r="D15" s="55">
        <v>10</v>
      </c>
      <c r="E15" s="231">
        <f>'HH comp &amp; Health'!$C$23</f>
        <v>395580</v>
      </c>
      <c r="F15" s="236">
        <f>'HH comp &amp; Health'!$C$37</f>
        <v>2790940</v>
      </c>
      <c r="G15" s="55">
        <f>Input!$C$53</f>
        <v>2</v>
      </c>
      <c r="H15" s="250">
        <f>Input!$H$13</f>
        <v>914488</v>
      </c>
      <c r="I15" s="547">
        <f>IF(I$11&gt;0,$E15/(1+(1/(($C15-1)*I$11/$D15)))*$G15/$F15,0)</f>
        <v>0</v>
      </c>
      <c r="J15" s="547">
        <f t="shared" si="0"/>
        <v>0</v>
      </c>
      <c r="K15" s="604">
        <f t="shared" si="0"/>
        <v>4.4077071674156275E-2</v>
      </c>
      <c r="L15" s="604">
        <f t="shared" si="0"/>
        <v>6.3514108286592159E-3</v>
      </c>
      <c r="M15" s="604">
        <f t="shared" si="0"/>
        <v>1.5078979565412288E-3</v>
      </c>
      <c r="N15" s="604">
        <f t="shared" si="0"/>
        <v>1.5078979565412288E-3</v>
      </c>
      <c r="O15" s="604">
        <f t="shared" si="0"/>
        <v>5.0442144653310326E-4</v>
      </c>
      <c r="P15" s="547">
        <f t="shared" si="0"/>
        <v>0</v>
      </c>
    </row>
    <row r="16" spans="1:21">
      <c r="A16" s="235"/>
      <c r="B16" s="18" t="s">
        <v>115</v>
      </c>
      <c r="C16" s="23"/>
      <c r="D16" s="225"/>
      <c r="E16" s="232"/>
      <c r="F16" s="225"/>
      <c r="G16" s="225"/>
      <c r="H16" s="225"/>
      <c r="I16" s="547"/>
      <c r="J16" s="547"/>
      <c r="K16" s="604"/>
      <c r="L16" s="604"/>
      <c r="M16" s="604"/>
      <c r="N16" s="604"/>
      <c r="O16" s="604"/>
      <c r="P16" s="547"/>
    </row>
    <row r="17" spans="1:20" ht="15">
      <c r="A17" s="234"/>
      <c r="B17" s="22" t="s">
        <v>116</v>
      </c>
      <c r="C17" s="23">
        <f>Input!$C$15</f>
        <v>1.115</v>
      </c>
      <c r="D17" s="55">
        <v>10</v>
      </c>
      <c r="E17" s="231">
        <f>'HH comp &amp; Health'!$C$25</f>
        <v>57872</v>
      </c>
      <c r="F17" s="236">
        <f>'HH comp &amp; Health'!$C$35</f>
        <v>4714055</v>
      </c>
      <c r="G17" s="55">
        <f>SUM(Input!$C$53:$C$54)</f>
        <v>4</v>
      </c>
      <c r="H17" s="250">
        <f>Input!$H$15</f>
        <v>50902</v>
      </c>
      <c r="I17" s="547">
        <f>IF(I$11&gt;0,$E17/(1+(1/(($C17-1)*I$11/$D17)))*$G17/$F17,0)</f>
        <v>0</v>
      </c>
      <c r="J17" s="547">
        <f t="shared" si="0"/>
        <v>0</v>
      </c>
      <c r="K17" s="604">
        <f t="shared" si="0"/>
        <v>8.240569299005001E-3</v>
      </c>
      <c r="L17" s="604">
        <f t="shared" si="0"/>
        <v>1.202466603640789E-3</v>
      </c>
      <c r="M17" s="604">
        <f t="shared" si="0"/>
        <v>2.8594371154895998E-4</v>
      </c>
      <c r="N17" s="604">
        <f t="shared" si="0"/>
        <v>2.8594371154895998E-4</v>
      </c>
      <c r="O17" s="604">
        <f t="shared" si="0"/>
        <v>9.568602359353841E-5</v>
      </c>
      <c r="P17" s="547">
        <f t="shared" si="0"/>
        <v>0</v>
      </c>
    </row>
    <row r="18" spans="1:20" ht="15">
      <c r="A18" s="234"/>
      <c r="B18" s="22" t="s">
        <v>118</v>
      </c>
      <c r="C18" s="23">
        <f>Input!$C$16</f>
        <v>1.07</v>
      </c>
      <c r="D18" s="55">
        <v>10</v>
      </c>
      <c r="E18" s="231">
        <f>'HH comp &amp; Health'!$C$26</f>
        <v>70425</v>
      </c>
      <c r="F18" s="236">
        <f>'HH comp &amp; Health'!$C$35</f>
        <v>4714055</v>
      </c>
      <c r="G18" s="55">
        <f>SUM(Input!$C$53:$C$54)</f>
        <v>4</v>
      </c>
      <c r="H18" s="250">
        <f>Input!$H$16</f>
        <v>44075</v>
      </c>
      <c r="I18" s="547">
        <f>IF(I$11&gt;0,$E18/(1+(1/(($C18-1)*I$11/$D18)))*$G18/$F18,0)</f>
        <v>0</v>
      </c>
      <c r="J18" s="547">
        <f t="shared" si="0"/>
        <v>0</v>
      </c>
      <c r="K18" s="604">
        <f t="shared" si="0"/>
        <v>6.5330119181402375E-3</v>
      </c>
      <c r="L18" s="604">
        <f t="shared" si="0"/>
        <v>8.9931749139201211E-4</v>
      </c>
      <c r="M18" s="604">
        <f t="shared" si="0"/>
        <v>2.1229013399066068E-4</v>
      </c>
      <c r="N18" s="604">
        <f t="shared" si="0"/>
        <v>2.1229013399066068E-4</v>
      </c>
      <c r="O18" s="604">
        <f t="shared" si="0"/>
        <v>7.0931368483905663E-5</v>
      </c>
      <c r="P18" s="547">
        <f t="shared" si="0"/>
        <v>0</v>
      </c>
    </row>
    <row r="19" spans="1:20" ht="15">
      <c r="A19" s="234"/>
      <c r="B19" s="97" t="s">
        <v>119</v>
      </c>
      <c r="C19" s="222">
        <f>Input!$C$17</f>
        <v>0.9</v>
      </c>
      <c r="D19" s="228">
        <v>10</v>
      </c>
      <c r="E19" s="217" t="s">
        <v>538</v>
      </c>
      <c r="F19" s="217">
        <f>'HH comp &amp; Health'!$C$35</f>
        <v>4714055</v>
      </c>
      <c r="G19" s="228">
        <f>SUM(Input!$C$53:$C$54)</f>
        <v>4</v>
      </c>
      <c r="H19" s="249">
        <f>Input!$H$17</f>
        <v>124</v>
      </c>
      <c r="I19" s="547">
        <f>IF(I$11&gt;0,$C$19*I$11/$D$19*$G$19,0)</f>
        <v>0</v>
      </c>
      <c r="J19" s="547">
        <f t="shared" ref="J19:P19" si="1">IF(J$11&gt;0,$C$19*J$11/$D$19*$G$19,0)</f>
        <v>0</v>
      </c>
      <c r="K19" s="604">
        <f t="shared" si="1"/>
        <v>6.3125766331252979</v>
      </c>
      <c r="L19" s="604">
        <f t="shared" si="1"/>
        <v>0.78579792113592917</v>
      </c>
      <c r="M19" s="604">
        <f t="shared" si="1"/>
        <v>0.18335284826505013</v>
      </c>
      <c r="N19" s="604">
        <f t="shared" si="1"/>
        <v>0.18335284826505013</v>
      </c>
      <c r="O19" s="604">
        <f t="shared" si="1"/>
        <v>6.1117616088350035E-2</v>
      </c>
      <c r="P19" s="547">
        <f t="shared" si="1"/>
        <v>0</v>
      </c>
      <c r="R19" s="151" t="s">
        <v>539</v>
      </c>
    </row>
    <row r="20" spans="1:20">
      <c r="A20" s="234"/>
      <c r="B20" s="11"/>
      <c r="C20" s="261"/>
      <c r="D20" s="177"/>
      <c r="E20" s="102"/>
      <c r="F20" s="262"/>
      <c r="G20" s="636"/>
      <c r="H20" s="262"/>
      <c r="I20" s="2"/>
      <c r="J20" s="2"/>
      <c r="K20" s="2"/>
      <c r="L20" s="2"/>
      <c r="M20" s="2"/>
      <c r="N20" s="2"/>
      <c r="O20" s="2"/>
      <c r="P20" s="2"/>
      <c r="T20" s="151"/>
    </row>
    <row r="21" spans="1:20" ht="15">
      <c r="A21" s="234"/>
      <c r="B21" s="11"/>
      <c r="C21" s="261"/>
      <c r="D21" s="177"/>
      <c r="E21" s="102"/>
      <c r="F21" s="262"/>
      <c r="G21" s="450" t="s">
        <v>540</v>
      </c>
      <c r="H21" s="450"/>
      <c r="I21" s="451">
        <f>I13*$H13</f>
        <v>0</v>
      </c>
      <c r="J21" s="451">
        <f t="shared" ref="J21:P21" si="2">J13*$H13</f>
        <v>0</v>
      </c>
      <c r="K21" s="452">
        <f t="shared" si="2"/>
        <v>51911.093743613797</v>
      </c>
      <c r="L21" s="452">
        <f t="shared" si="2"/>
        <v>7480.2764886046307</v>
      </c>
      <c r="M21" s="452">
        <f t="shared" si="2"/>
        <v>1775.9036434290026</v>
      </c>
      <c r="N21" s="452">
        <f t="shared" si="2"/>
        <v>1775.9036434290026</v>
      </c>
      <c r="O21" s="452">
        <f t="shared" si="2"/>
        <v>594.07460619990104</v>
      </c>
      <c r="P21" s="451">
        <f t="shared" si="2"/>
        <v>0</v>
      </c>
      <c r="T21" s="151"/>
    </row>
    <row r="22" spans="1:20" ht="15">
      <c r="A22" s="234"/>
      <c r="B22" s="11"/>
      <c r="C22" s="261"/>
      <c r="D22" s="177"/>
      <c r="E22" s="102"/>
      <c r="F22" s="262"/>
      <c r="G22" s="453" t="s">
        <v>541</v>
      </c>
      <c r="H22" s="453"/>
      <c r="I22" s="238">
        <f>I15*$H15</f>
        <v>0</v>
      </c>
      <c r="J22" s="238">
        <f t="shared" ref="J22:P22" si="3">J15*$H15</f>
        <v>0</v>
      </c>
      <c r="K22" s="454">
        <f t="shared" si="3"/>
        <v>40307.953121155821</v>
      </c>
      <c r="L22" s="454">
        <f t="shared" si="3"/>
        <v>5808.2889858789094</v>
      </c>
      <c r="M22" s="454">
        <f t="shared" si="3"/>
        <v>1378.9545864814752</v>
      </c>
      <c r="N22" s="454">
        <f t="shared" si="3"/>
        <v>1378.9545864814752</v>
      </c>
      <c r="O22" s="454">
        <f t="shared" si="3"/>
        <v>461.28735979716453</v>
      </c>
      <c r="P22" s="238">
        <f t="shared" si="3"/>
        <v>0</v>
      </c>
      <c r="T22" s="151"/>
    </row>
    <row r="23" spans="1:20" ht="15">
      <c r="A23" s="234"/>
      <c r="B23" s="11"/>
      <c r="C23" s="261"/>
      <c r="D23" s="177"/>
      <c r="E23" s="102"/>
      <c r="F23" s="262"/>
      <c r="G23" s="450" t="s">
        <v>542</v>
      </c>
      <c r="H23" s="450"/>
      <c r="I23" s="451">
        <f>I17*$H17+I18*$H18+I19*$H19</f>
        <v>0</v>
      </c>
      <c r="J23" s="451">
        <f t="shared" ref="J23:P23" si="4">J17*$H17+J18*$H18+J19*$H19</f>
        <v>0</v>
      </c>
      <c r="K23" s="452">
        <f t="shared" si="4"/>
        <v>1490.1634612575203</v>
      </c>
      <c r="L23" s="452">
        <f t="shared" si="4"/>
        <v>198.2843157124816</v>
      </c>
      <c r="M23" s="452">
        <f t="shared" si="4"/>
        <v>46.647547645769748</v>
      </c>
      <c r="N23" s="452">
        <f t="shared" si="4"/>
        <v>46.647547645769748</v>
      </c>
      <c r="O23" s="452">
        <f t="shared" si="4"/>
        <v>15.57549443384184</v>
      </c>
      <c r="P23" s="451">
        <f t="shared" si="4"/>
        <v>0</v>
      </c>
      <c r="T23" s="151"/>
    </row>
    <row r="24" spans="1:20" ht="15">
      <c r="A24" s="234"/>
      <c r="B24" s="11"/>
      <c r="C24" s="261"/>
      <c r="D24" s="177"/>
      <c r="E24" s="102"/>
      <c r="F24" s="262"/>
      <c r="G24" s="455" t="s">
        <v>543</v>
      </c>
      <c r="H24" s="455"/>
      <c r="I24" s="456">
        <f>I23+I21</f>
        <v>0</v>
      </c>
      <c r="J24" s="456">
        <f t="shared" ref="J24:P24" si="5">J23+J21</f>
        <v>0</v>
      </c>
      <c r="K24" s="457">
        <f t="shared" si="5"/>
        <v>53401.257204871319</v>
      </c>
      <c r="L24" s="457">
        <f t="shared" si="5"/>
        <v>7678.5608043171123</v>
      </c>
      <c r="M24" s="457">
        <f t="shared" si="5"/>
        <v>1822.5511910747723</v>
      </c>
      <c r="N24" s="457">
        <f t="shared" si="5"/>
        <v>1822.5511910747723</v>
      </c>
      <c r="O24" s="457">
        <f t="shared" si="5"/>
        <v>609.65010063374291</v>
      </c>
      <c r="P24" s="456">
        <f t="shared" si="5"/>
        <v>0</v>
      </c>
      <c r="T24" s="151"/>
    </row>
    <row r="25" spans="1:20">
      <c r="A25" s="234"/>
      <c r="B25" s="11"/>
      <c r="C25" s="261"/>
      <c r="D25" s="177"/>
      <c r="E25" s="102"/>
      <c r="F25" s="262"/>
      <c r="G25" s="262"/>
      <c r="H25" s="262"/>
      <c r="I25" s="262"/>
      <c r="J25" s="262"/>
      <c r="K25" s="262"/>
      <c r="L25" s="262"/>
      <c r="M25" s="262"/>
      <c r="N25" s="262"/>
      <c r="O25" s="262"/>
      <c r="P25" s="262"/>
      <c r="Q25" s="262"/>
      <c r="R25" s="262"/>
      <c r="S25" s="262"/>
      <c r="T25" s="151"/>
    </row>
    <row r="26" spans="1:20">
      <c r="A26" s="234"/>
      <c r="B26" s="446" t="s">
        <v>520</v>
      </c>
      <c r="C26" s="539"/>
      <c r="D26" s="540"/>
      <c r="E26" s="540"/>
      <c r="F26" s="540"/>
      <c r="G26" s="540"/>
      <c r="H26" s="548"/>
      <c r="I26" s="384"/>
      <c r="J26" s="384"/>
      <c r="K26" s="599" t="s">
        <v>521</v>
      </c>
      <c r="L26" s="599" t="s">
        <v>522</v>
      </c>
      <c r="M26" s="599" t="s">
        <v>523</v>
      </c>
      <c r="N26" s="599" t="s">
        <v>524</v>
      </c>
      <c r="O26" s="599" t="s">
        <v>525</v>
      </c>
      <c r="P26" s="384"/>
      <c r="Q26" s="262"/>
      <c r="R26" s="262"/>
      <c r="S26" s="262"/>
      <c r="T26" s="151"/>
    </row>
    <row r="27" spans="1:20">
      <c r="A27" s="234"/>
      <c r="B27" s="477" t="s">
        <v>101</v>
      </c>
      <c r="C27" s="246" t="s">
        <v>526</v>
      </c>
      <c r="D27" s="14" t="s">
        <v>527</v>
      </c>
      <c r="E27" s="14" t="s">
        <v>528</v>
      </c>
      <c r="F27" s="14" t="s">
        <v>529</v>
      </c>
      <c r="G27" s="247" t="s">
        <v>530</v>
      </c>
      <c r="H27" s="247" t="s">
        <v>531</v>
      </c>
      <c r="I27" s="541" t="s">
        <v>64</v>
      </c>
      <c r="J27" s="541" t="s">
        <v>65</v>
      </c>
      <c r="K27" s="541" t="s">
        <v>532</v>
      </c>
      <c r="L27" s="541" t="s">
        <v>533</v>
      </c>
      <c r="M27" s="541" t="s">
        <v>534</v>
      </c>
      <c r="N27" s="541" t="s">
        <v>535</v>
      </c>
      <c r="O27" s="541" t="s">
        <v>536</v>
      </c>
      <c r="P27" s="541" t="s">
        <v>71</v>
      </c>
      <c r="T27" s="151"/>
    </row>
    <row r="28" spans="1:20" ht="15.6">
      <c r="B28" s="260" t="s">
        <v>544</v>
      </c>
      <c r="C28" s="23"/>
      <c r="D28" s="227"/>
      <c r="E28" s="233"/>
      <c r="F28" s="227"/>
      <c r="G28" s="225"/>
      <c r="H28" s="225"/>
      <c r="I28" s="545">
        <f>Input!$C$41</f>
        <v>0</v>
      </c>
      <c r="J28" s="546">
        <f>Input!$C$42</f>
        <v>2.875</v>
      </c>
      <c r="K28" s="545">
        <f>Input!$C$43</f>
        <v>0</v>
      </c>
      <c r="L28" s="545">
        <f>Input!$C$44</f>
        <v>0</v>
      </c>
      <c r="M28" s="545">
        <f>Input!$C$45</f>
        <v>0</v>
      </c>
      <c r="N28" s="545">
        <f>Input!$C$46</f>
        <v>0</v>
      </c>
      <c r="O28" s="545">
        <f>Input!$C$47</f>
        <v>0</v>
      </c>
      <c r="P28" s="546">
        <f>Input!$C$48</f>
        <v>6.6210750762379211</v>
      </c>
    </row>
    <row r="29" spans="1:20">
      <c r="B29" s="94" t="s">
        <v>108</v>
      </c>
      <c r="C29" s="23"/>
      <c r="D29" s="225"/>
      <c r="E29" s="232"/>
      <c r="F29" s="225"/>
      <c r="G29" s="226"/>
      <c r="H29" s="226"/>
      <c r="I29" s="2"/>
      <c r="J29" s="2"/>
      <c r="K29" s="2"/>
      <c r="L29" s="2"/>
      <c r="M29" s="2"/>
      <c r="N29" s="2"/>
      <c r="O29" s="2"/>
      <c r="P29" s="2"/>
    </row>
    <row r="30" spans="1:20" ht="15">
      <c r="B30" s="95" t="s">
        <v>122</v>
      </c>
      <c r="C30" s="23">
        <f>Input!$C$20</f>
        <v>1.097</v>
      </c>
      <c r="D30" s="55">
        <v>10</v>
      </c>
      <c r="E30" s="231">
        <f>E13</f>
        <v>29690</v>
      </c>
      <c r="F30" s="237">
        <f>F13</f>
        <v>2790940</v>
      </c>
      <c r="G30" s="55">
        <f>G13</f>
        <v>2</v>
      </c>
      <c r="H30" s="250">
        <f>Input!$H$20</f>
        <v>15691757</v>
      </c>
      <c r="I30" s="2">
        <f>IF(I$28&gt;0,$E30/(1+(1/(($C30-1)*I$28/$D30)))*$G30/$F30,0)</f>
        <v>0</v>
      </c>
      <c r="J30" s="604">
        <f t="shared" ref="J30:P37" si="6">IF(J$28&gt;0,$E30/(1+(1/(($C30-1)*J$28/$D30)))*$G30/$F30,0)</f>
        <v>5.7723637646092435E-4</v>
      </c>
      <c r="K30" s="2">
        <f t="shared" si="6"/>
        <v>0</v>
      </c>
      <c r="L30" s="2">
        <f t="shared" si="6"/>
        <v>0</v>
      </c>
      <c r="M30" s="2">
        <f t="shared" si="6"/>
        <v>0</v>
      </c>
      <c r="N30" s="2">
        <f t="shared" si="6"/>
        <v>0</v>
      </c>
      <c r="O30" s="2">
        <f t="shared" si="6"/>
        <v>0</v>
      </c>
      <c r="P30" s="604">
        <f t="shared" si="6"/>
        <v>1.2839754391849184E-3</v>
      </c>
    </row>
    <row r="31" spans="1:20">
      <c r="B31" s="96" t="s">
        <v>112</v>
      </c>
      <c r="C31" s="23"/>
      <c r="D31" s="225"/>
      <c r="E31" s="223"/>
      <c r="F31" s="225"/>
      <c r="G31" s="225"/>
      <c r="H31" s="225"/>
      <c r="I31" s="2"/>
      <c r="J31" s="604"/>
      <c r="K31" s="2"/>
      <c r="L31" s="2"/>
      <c r="M31" s="2"/>
      <c r="N31" s="2"/>
      <c r="O31" s="2"/>
      <c r="P31" s="604"/>
    </row>
    <row r="32" spans="1:20" ht="15">
      <c r="B32" s="95" t="s">
        <v>123</v>
      </c>
      <c r="C32" s="23">
        <f>Input!$C$22</f>
        <v>1.097</v>
      </c>
      <c r="D32" s="55">
        <v>10</v>
      </c>
      <c r="E32" s="231">
        <f>E15</f>
        <v>395580</v>
      </c>
      <c r="F32" s="237">
        <f>F15</f>
        <v>2790940</v>
      </c>
      <c r="G32" s="55">
        <f>G15</f>
        <v>2</v>
      </c>
      <c r="H32" s="250">
        <f>Input!$H$22</f>
        <v>914488</v>
      </c>
      <c r="I32" s="2">
        <f>IF(I$28&gt;0,$E32/(1+(1/(($C32-1)*I$28/$D32)))*$G32/$F32,0)</f>
        <v>0</v>
      </c>
      <c r="J32" s="604">
        <f t="shared" si="6"/>
        <v>7.6909116133517157E-3</v>
      </c>
      <c r="K32" s="2">
        <f t="shared" si="6"/>
        <v>0</v>
      </c>
      <c r="L32" s="2">
        <f t="shared" si="6"/>
        <v>0</v>
      </c>
      <c r="M32" s="2">
        <f t="shared" si="6"/>
        <v>0</v>
      </c>
      <c r="N32" s="2">
        <f t="shared" si="6"/>
        <v>0</v>
      </c>
      <c r="O32" s="2">
        <f t="shared" si="6"/>
        <v>0</v>
      </c>
      <c r="P32" s="604">
        <f t="shared" si="6"/>
        <v>1.7107275319392726E-2</v>
      </c>
    </row>
    <row r="33" spans="1:18">
      <c r="B33" s="94" t="s">
        <v>115</v>
      </c>
      <c r="C33" s="23"/>
      <c r="D33" s="225"/>
      <c r="E33" s="223"/>
      <c r="F33" s="225"/>
      <c r="G33" s="225"/>
      <c r="H33" s="225"/>
      <c r="I33" s="2"/>
      <c r="J33" s="604"/>
      <c r="K33" s="2"/>
      <c r="L33" s="2"/>
      <c r="M33" s="2"/>
      <c r="N33" s="2"/>
      <c r="O33" s="2"/>
      <c r="P33" s="604"/>
    </row>
    <row r="34" spans="1:18" ht="15">
      <c r="B34" s="95" t="s">
        <v>125</v>
      </c>
      <c r="C34" s="23">
        <f>Input!$C$24</f>
        <v>1.0469999999999999</v>
      </c>
      <c r="D34" s="55">
        <v>10</v>
      </c>
      <c r="E34" s="231">
        <f t="shared" ref="E34:G35" si="7">E17</f>
        <v>57872</v>
      </c>
      <c r="F34" s="237">
        <f t="shared" si="7"/>
        <v>4714055</v>
      </c>
      <c r="G34" s="55">
        <f t="shared" si="7"/>
        <v>4</v>
      </c>
      <c r="H34" s="250">
        <f>Input!$H$24</f>
        <v>50902</v>
      </c>
      <c r="I34" s="2">
        <f>IF(I$28&gt;0,$E34/(1+(1/(($C34-1)*I$28/$D34)))*$G34/$F34,0)</f>
        <v>0</v>
      </c>
      <c r="J34" s="604">
        <f t="shared" si="6"/>
        <v>6.5469712698407775E-4</v>
      </c>
      <c r="K34" s="2">
        <f t="shared" si="6"/>
        <v>0</v>
      </c>
      <c r="L34" s="2">
        <f t="shared" si="6"/>
        <v>0</v>
      </c>
      <c r="M34" s="2">
        <f t="shared" si="6"/>
        <v>0</v>
      </c>
      <c r="N34" s="2">
        <f t="shared" si="6"/>
        <v>0</v>
      </c>
      <c r="O34" s="2">
        <f t="shared" si="6"/>
        <v>0</v>
      </c>
      <c r="P34" s="604">
        <f t="shared" si="6"/>
        <v>1.4820108939244642E-3</v>
      </c>
    </row>
    <row r="35" spans="1:18" ht="15">
      <c r="B35" s="95" t="s">
        <v>126</v>
      </c>
      <c r="C35" s="23">
        <f>Input!$C$25</f>
        <v>1.1299999999999999</v>
      </c>
      <c r="D35" s="55">
        <v>10</v>
      </c>
      <c r="E35" s="231">
        <f t="shared" si="7"/>
        <v>70425</v>
      </c>
      <c r="F35" s="237">
        <f t="shared" si="7"/>
        <v>4714055</v>
      </c>
      <c r="G35" s="55">
        <f t="shared" si="7"/>
        <v>4</v>
      </c>
      <c r="H35" s="250">
        <f>Input!$H$25</f>
        <v>44075</v>
      </c>
      <c r="I35" s="2">
        <f>IF(I$28&gt;0,$E35/(1+(1/(($C35-1)*I$28/$D35)))*$G35/$F35,0)</f>
        <v>0</v>
      </c>
      <c r="J35" s="604">
        <f t="shared" si="6"/>
        <v>2.1529682509607794E-3</v>
      </c>
      <c r="K35" s="2">
        <f t="shared" si="6"/>
        <v>0</v>
      </c>
      <c r="L35" s="2">
        <f t="shared" si="6"/>
        <v>0</v>
      </c>
      <c r="M35" s="2">
        <f t="shared" si="6"/>
        <v>0</v>
      </c>
      <c r="N35" s="2">
        <f t="shared" si="6"/>
        <v>0</v>
      </c>
      <c r="O35" s="2">
        <f t="shared" si="6"/>
        <v>0</v>
      </c>
      <c r="P35" s="604">
        <f t="shared" si="6"/>
        <v>4.7359232864198145E-3</v>
      </c>
    </row>
    <row r="36" spans="1:18" ht="15">
      <c r="A36" s="234"/>
      <c r="B36" s="22" t="s">
        <v>211</v>
      </c>
      <c r="C36" s="23">
        <f>Input!$C$26</f>
        <v>1.1819999999999999</v>
      </c>
      <c r="D36" s="55">
        <v>10</v>
      </c>
      <c r="E36" s="231">
        <f>'HH comp &amp; Health'!$C$27</f>
        <v>6485</v>
      </c>
      <c r="F36" s="237">
        <f>'HH comp &amp; Health'!$C$38</f>
        <v>1177070</v>
      </c>
      <c r="G36" s="55">
        <f>Input!$C$54</f>
        <v>2</v>
      </c>
      <c r="H36" s="250">
        <f>Input!$H$26</f>
        <v>2529</v>
      </c>
      <c r="I36" s="2">
        <f>IF(I$28&gt;0,$E36/(1+(1/(($C36-1)*I$28/$D36)))*$G36/$F36,0)</f>
        <v>0</v>
      </c>
      <c r="J36" s="604">
        <f t="shared" si="6"/>
        <v>5.4789461767780121E-4</v>
      </c>
      <c r="K36" s="2">
        <f t="shared" si="6"/>
        <v>0</v>
      </c>
      <c r="L36" s="2">
        <f t="shared" si="6"/>
        <v>0</v>
      </c>
      <c r="M36" s="2">
        <f t="shared" si="6"/>
        <v>0</v>
      </c>
      <c r="N36" s="2">
        <f t="shared" si="6"/>
        <v>0</v>
      </c>
      <c r="O36" s="2">
        <f t="shared" si="6"/>
        <v>0</v>
      </c>
      <c r="P36" s="604">
        <f t="shared" si="6"/>
        <v>1.1850163495278191E-3</v>
      </c>
    </row>
    <row r="37" spans="1:18" ht="15">
      <c r="A37" s="234"/>
      <c r="B37" s="97" t="s">
        <v>129</v>
      </c>
      <c r="C37" s="222">
        <f>Input!$C$27</f>
        <v>1.05</v>
      </c>
      <c r="D37" s="228">
        <v>4</v>
      </c>
      <c r="E37" s="217">
        <f>'HH comp &amp; Health'!$C$29</f>
        <v>152169</v>
      </c>
      <c r="F37" s="217">
        <f>'HH comp &amp; Health'!$C$38</f>
        <v>1177070</v>
      </c>
      <c r="G37" s="228">
        <f>Input!$C$54</f>
        <v>2</v>
      </c>
      <c r="H37" s="249">
        <f>Input!$H$27</f>
        <v>178</v>
      </c>
      <c r="I37" s="2">
        <f>IF(I$28&gt;0,$E37/(1+(1/(($C37-1)*I$28/$D37)))*$G37/$F37,0)</f>
        <v>0</v>
      </c>
      <c r="J37" s="604">
        <f t="shared" si="6"/>
        <v>8.9694992708907201E-3</v>
      </c>
      <c r="K37" s="547">
        <f t="shared" si="6"/>
        <v>0</v>
      </c>
      <c r="L37" s="2">
        <f t="shared" si="6"/>
        <v>0</v>
      </c>
      <c r="M37" s="2">
        <f t="shared" si="6"/>
        <v>0</v>
      </c>
      <c r="N37" s="2">
        <f t="shared" si="6"/>
        <v>0</v>
      </c>
      <c r="O37" s="547">
        <f t="shared" si="6"/>
        <v>0</v>
      </c>
      <c r="P37" s="604">
        <f t="shared" si="6"/>
        <v>1.9763271374265597E-2</v>
      </c>
    </row>
    <row r="39" spans="1:18" ht="15">
      <c r="F39" s="458" t="s">
        <v>545</v>
      </c>
      <c r="G39" s="257" t="s">
        <v>546</v>
      </c>
      <c r="H39" s="459"/>
      <c r="I39" s="451">
        <f>I30*$H30</f>
        <v>0</v>
      </c>
      <c r="J39" s="460">
        <f t="shared" ref="J39:P39" si="8">J30*$H30</f>
        <v>9057.8529509853452</v>
      </c>
      <c r="K39" s="461">
        <f t="shared" si="8"/>
        <v>0</v>
      </c>
      <c r="L39" s="461">
        <f t="shared" si="8"/>
        <v>0</v>
      </c>
      <c r="M39" s="461">
        <f t="shared" si="8"/>
        <v>0</v>
      </c>
      <c r="N39" s="461">
        <f t="shared" si="8"/>
        <v>0</v>
      </c>
      <c r="O39" s="461">
        <f t="shared" si="8"/>
        <v>0</v>
      </c>
      <c r="P39" s="460">
        <f t="shared" si="8"/>
        <v>20147.830585658019</v>
      </c>
    </row>
    <row r="40" spans="1:18" ht="15">
      <c r="G40" s="462" t="s">
        <v>547</v>
      </c>
      <c r="H40" s="463"/>
      <c r="I40" s="238">
        <f t="shared" ref="I40:P40" si="9">I32*$H3</f>
        <v>0</v>
      </c>
      <c r="J40" s="464">
        <f t="shared" si="9"/>
        <v>0</v>
      </c>
      <c r="K40" s="465">
        <f t="shared" si="9"/>
        <v>0</v>
      </c>
      <c r="L40" s="465">
        <f t="shared" si="9"/>
        <v>0</v>
      </c>
      <c r="M40" s="465">
        <f t="shared" si="9"/>
        <v>0</v>
      </c>
      <c r="N40" s="465">
        <f t="shared" si="9"/>
        <v>0</v>
      </c>
      <c r="O40" s="465">
        <f t="shared" si="9"/>
        <v>0</v>
      </c>
      <c r="P40" s="464">
        <f t="shared" si="9"/>
        <v>0</v>
      </c>
    </row>
    <row r="41" spans="1:18" ht="15">
      <c r="G41" s="257" t="s">
        <v>548</v>
      </c>
      <c r="H41" s="459"/>
      <c r="I41" s="451">
        <f>I34*$H34+I35*$H35+I37*$H37</f>
        <v>0</v>
      </c>
      <c r="J41" s="460">
        <f t="shared" ref="J41:P41" si="10">J34*$H34+J35*$H35+J37*$H37</f>
        <v>129.81403968905843</v>
      </c>
      <c r="K41" s="461">
        <f t="shared" si="10"/>
        <v>0</v>
      </c>
      <c r="L41" s="461">
        <f t="shared" si="10"/>
        <v>0</v>
      </c>
      <c r="M41" s="461">
        <f t="shared" si="10"/>
        <v>0</v>
      </c>
      <c r="N41" s="461">
        <f t="shared" si="10"/>
        <v>0</v>
      </c>
      <c r="O41" s="461">
        <f t="shared" si="10"/>
        <v>0</v>
      </c>
      <c r="P41" s="460">
        <f t="shared" si="10"/>
        <v>287.69099967611567</v>
      </c>
    </row>
    <row r="42" spans="1:18" ht="15">
      <c r="G42" s="466" t="s">
        <v>549</v>
      </c>
      <c r="H42" s="467"/>
      <c r="I42" s="456">
        <f>I41+I39</f>
        <v>0</v>
      </c>
      <c r="J42" s="468">
        <f t="shared" ref="J42" si="11">J41+J39</f>
        <v>9187.6669906744028</v>
      </c>
      <c r="K42" s="469">
        <f t="shared" ref="K42" si="12">K41+K39</f>
        <v>0</v>
      </c>
      <c r="L42" s="469">
        <f t="shared" ref="L42" si="13">L41+L39</f>
        <v>0</v>
      </c>
      <c r="M42" s="469">
        <f t="shared" ref="M42" si="14">M41+M39</f>
        <v>0</v>
      </c>
      <c r="N42" s="469">
        <f t="shared" ref="N42" si="15">N41+N39</f>
        <v>0</v>
      </c>
      <c r="O42" s="469">
        <f t="shared" ref="O42" si="16">O41+O39</f>
        <v>0</v>
      </c>
      <c r="P42" s="468">
        <f t="shared" ref="P42" si="17">P41+P39</f>
        <v>20435.521585334136</v>
      </c>
      <c r="R42" s="605"/>
    </row>
    <row r="45" spans="1:18" ht="15.6">
      <c r="A45" s="241" t="s">
        <v>161</v>
      </c>
      <c r="B45" s="242"/>
    </row>
    <row r="46" spans="1:18">
      <c r="A46" s="220"/>
    </row>
    <row r="47" spans="1:18">
      <c r="B47" s="446" t="s">
        <v>520</v>
      </c>
      <c r="C47" s="539"/>
      <c r="D47" s="540"/>
      <c r="E47" s="540"/>
      <c r="F47" s="540"/>
      <c r="G47" s="540"/>
      <c r="H47" s="548"/>
      <c r="I47" s="384"/>
      <c r="J47" s="384"/>
      <c r="K47" s="599" t="s">
        <v>521</v>
      </c>
      <c r="L47" s="599" t="s">
        <v>522</v>
      </c>
      <c r="M47" s="599" t="s">
        <v>523</v>
      </c>
      <c r="N47" s="599" t="s">
        <v>524</v>
      </c>
      <c r="O47" s="599" t="s">
        <v>525</v>
      </c>
      <c r="P47" s="384"/>
    </row>
    <row r="48" spans="1:18">
      <c r="B48" s="477" t="s">
        <v>101</v>
      </c>
      <c r="C48" s="243" t="s">
        <v>526</v>
      </c>
      <c r="D48" s="14" t="s">
        <v>527</v>
      </c>
      <c r="E48" s="14" t="s">
        <v>528</v>
      </c>
      <c r="F48" s="14" t="s">
        <v>529</v>
      </c>
      <c r="G48" s="243" t="s">
        <v>530</v>
      </c>
      <c r="H48" s="243" t="s">
        <v>531</v>
      </c>
      <c r="I48" s="541" t="s">
        <v>64</v>
      </c>
      <c r="J48" s="541" t="s">
        <v>65</v>
      </c>
      <c r="K48" s="541" t="s">
        <v>532</v>
      </c>
      <c r="L48" s="541" t="s">
        <v>533</v>
      </c>
      <c r="M48" s="541" t="s">
        <v>534</v>
      </c>
      <c r="N48" s="541" t="s">
        <v>535</v>
      </c>
      <c r="O48" s="541" t="s">
        <v>536</v>
      </c>
      <c r="P48" s="541" t="s">
        <v>71</v>
      </c>
    </row>
    <row r="49" spans="1:17" ht="15.6">
      <c r="B49" s="244" t="s">
        <v>537</v>
      </c>
      <c r="C49" s="16"/>
      <c r="D49" s="225"/>
      <c r="E49" s="223"/>
      <c r="F49" s="225"/>
      <c r="G49" s="225"/>
      <c r="H49" s="225"/>
      <c r="I49" s="542">
        <f>Input!$D$32</f>
        <v>0</v>
      </c>
      <c r="J49" s="542">
        <f>Input!$D$33</f>
        <v>0</v>
      </c>
      <c r="K49" s="542">
        <f>Input!$D$34</f>
        <v>17.534935092014717</v>
      </c>
      <c r="L49" s="544">
        <f>Input!$D$35</f>
        <v>2.1827720031553586</v>
      </c>
      <c r="M49" s="544">
        <f>Input!$D$36</f>
        <v>0.50931346740291705</v>
      </c>
      <c r="N49" s="544">
        <f>Input!$D$37</f>
        <v>0.50931346740291705</v>
      </c>
      <c r="O49" s="544">
        <f>Input!$D$38</f>
        <v>0.16977115580097232</v>
      </c>
      <c r="P49" s="542">
        <f>Input!$D$39</f>
        <v>0</v>
      </c>
    </row>
    <row r="50" spans="1:17">
      <c r="B50" s="18" t="s">
        <v>108</v>
      </c>
      <c r="C50" s="19"/>
      <c r="D50" s="226"/>
      <c r="E50" s="224"/>
      <c r="F50" s="226"/>
      <c r="G50" s="226"/>
      <c r="H50" s="226"/>
      <c r="I50" s="2"/>
      <c r="J50" s="2"/>
      <c r="K50" s="2"/>
      <c r="L50" s="2"/>
      <c r="M50" s="2"/>
      <c r="N50" s="2"/>
      <c r="O50" s="2"/>
      <c r="P50" s="2"/>
    </row>
    <row r="51" spans="1:17" ht="15">
      <c r="A51" s="234"/>
      <c r="B51" s="22" t="s">
        <v>109</v>
      </c>
      <c r="C51" s="23">
        <f>Input!$D$11</f>
        <v>1.105</v>
      </c>
      <c r="D51" s="55">
        <v>10</v>
      </c>
      <c r="E51" s="231">
        <f>'HH comp &amp; Health'!$C$21</f>
        <v>29690</v>
      </c>
      <c r="F51" s="236">
        <f>'HH comp &amp; Health'!$C$37</f>
        <v>2790940</v>
      </c>
      <c r="G51" s="55">
        <f>Input!$D$53</f>
        <v>2</v>
      </c>
      <c r="H51" s="250">
        <f>Input!$I$11</f>
        <v>15691757</v>
      </c>
      <c r="I51" s="2">
        <f>IF(I$49&gt;0,$E51/(1+(1/(($C51-1)*I$49/$D51)))*$G51/$F51,0)</f>
        <v>0</v>
      </c>
      <c r="J51" s="2">
        <f t="shared" ref="J51:P51" si="18">IF(J$49&gt;0,$E51/(1+(1/(($C51-1)*J$49/$D51)))*$G51/$F51,0)</f>
        <v>0</v>
      </c>
      <c r="K51" s="604">
        <f t="shared" si="18"/>
        <v>3.3081759897004392E-3</v>
      </c>
      <c r="L51" s="604">
        <f t="shared" si="18"/>
        <v>4.7670101497267837E-4</v>
      </c>
      <c r="M51" s="604">
        <f t="shared" si="18"/>
        <v>1.1317430185982377E-4</v>
      </c>
      <c r="N51" s="604">
        <f t="shared" si="18"/>
        <v>1.1317430185982377E-4</v>
      </c>
      <c r="O51" s="604">
        <f t="shared" si="18"/>
        <v>3.7859024085059499E-5</v>
      </c>
      <c r="P51" s="2">
        <f t="shared" si="18"/>
        <v>0</v>
      </c>
    </row>
    <row r="52" spans="1:17">
      <c r="A52" s="235"/>
      <c r="B52" s="25" t="s">
        <v>112</v>
      </c>
      <c r="C52" s="23"/>
      <c r="D52" s="225"/>
      <c r="E52" s="232"/>
      <c r="F52" s="236"/>
      <c r="G52" s="225"/>
      <c r="H52" s="225"/>
      <c r="I52" s="2"/>
      <c r="J52" s="2"/>
      <c r="K52" s="604"/>
      <c r="L52" s="604"/>
      <c r="M52" s="604"/>
      <c r="N52" s="604"/>
      <c r="O52" s="604"/>
      <c r="P52" s="2"/>
    </row>
    <row r="53" spans="1:17" ht="15">
      <c r="A53" s="234"/>
      <c r="B53" s="22" t="s">
        <v>113</v>
      </c>
      <c r="C53" s="23">
        <f>Input!$D$13</f>
        <v>1.105</v>
      </c>
      <c r="D53" s="55">
        <v>10</v>
      </c>
      <c r="E53" s="231">
        <f>'HH comp &amp; Health'!$C$23</f>
        <v>395580</v>
      </c>
      <c r="F53" s="236">
        <f>'HH comp &amp; Health'!$C$37</f>
        <v>2790940</v>
      </c>
      <c r="G53" s="55">
        <f>Input!$D$53</f>
        <v>2</v>
      </c>
      <c r="H53" s="250">
        <f>Input!$I$13</f>
        <v>914488</v>
      </c>
      <c r="I53" s="2">
        <f>IF(I$49&gt;0,$E53/(1+(1/(($C53-1)*I$49/$D53)))*$G53/$F53,0)</f>
        <v>0</v>
      </c>
      <c r="J53" s="2">
        <f t="shared" ref="J53:P53" si="19">IF(J$49&gt;0,$E53/(1+(1/(($C53-1)*J$49/$D53)))*$G53/$F53,0)</f>
        <v>0</v>
      </c>
      <c r="K53" s="604">
        <f t="shared" si="19"/>
        <v>4.4077071674156275E-2</v>
      </c>
      <c r="L53" s="604">
        <f t="shared" si="19"/>
        <v>6.3514108286592159E-3</v>
      </c>
      <c r="M53" s="604">
        <f t="shared" si="19"/>
        <v>1.5078979565412288E-3</v>
      </c>
      <c r="N53" s="604">
        <f t="shared" si="19"/>
        <v>1.5078979565412288E-3</v>
      </c>
      <c r="O53" s="604">
        <f t="shared" si="19"/>
        <v>5.0442144653310326E-4</v>
      </c>
      <c r="P53" s="2">
        <f t="shared" si="19"/>
        <v>0</v>
      </c>
    </row>
    <row r="54" spans="1:17">
      <c r="A54" s="235"/>
      <c r="B54" s="18" t="s">
        <v>115</v>
      </c>
      <c r="C54" s="23"/>
      <c r="D54" s="225"/>
      <c r="E54" s="232"/>
      <c r="F54" s="225"/>
      <c r="G54" s="225"/>
      <c r="H54" s="225"/>
      <c r="I54" s="2"/>
      <c r="J54" s="2"/>
      <c r="K54" s="604"/>
      <c r="L54" s="604"/>
      <c r="M54" s="604"/>
      <c r="N54" s="604"/>
      <c r="O54" s="604"/>
      <c r="P54" s="2"/>
    </row>
    <row r="55" spans="1:17" ht="15">
      <c r="A55" s="234"/>
      <c r="B55" s="22" t="s">
        <v>116</v>
      </c>
      <c r="C55" s="23">
        <f>Input!$D$15</f>
        <v>1.115</v>
      </c>
      <c r="D55" s="55">
        <v>10</v>
      </c>
      <c r="E55" s="231">
        <f>'HH comp &amp; Health'!$C$25</f>
        <v>57872</v>
      </c>
      <c r="F55" s="236">
        <f>'HH comp &amp; Health'!$C$35</f>
        <v>4714055</v>
      </c>
      <c r="G55" s="55">
        <f>SUM(Input!$D$53:$D$54)</f>
        <v>4</v>
      </c>
      <c r="H55" s="250">
        <f>Input!$I$15</f>
        <v>50902</v>
      </c>
      <c r="I55" s="2">
        <f>IF(I$49&gt;0,$E55/(1+(1/(($C55-1)*I$49/$D55)))*$G55/$F55,0)</f>
        <v>0</v>
      </c>
      <c r="J55" s="2">
        <f t="shared" ref="J55:P56" si="20">IF(J$49&gt;0,$E55/(1+(1/(($C55-1)*J$49/$D55)))*$G55/$F55,0)</f>
        <v>0</v>
      </c>
      <c r="K55" s="604">
        <f t="shared" si="20"/>
        <v>8.240569299005001E-3</v>
      </c>
      <c r="L55" s="604">
        <f t="shared" si="20"/>
        <v>1.202466603640789E-3</v>
      </c>
      <c r="M55" s="604">
        <f t="shared" si="20"/>
        <v>2.8594371154895998E-4</v>
      </c>
      <c r="N55" s="604">
        <f t="shared" si="20"/>
        <v>2.8594371154895998E-4</v>
      </c>
      <c r="O55" s="604">
        <f t="shared" si="20"/>
        <v>9.568602359353841E-5</v>
      </c>
      <c r="P55" s="2">
        <f t="shared" si="20"/>
        <v>0</v>
      </c>
    </row>
    <row r="56" spans="1:17" ht="15">
      <c r="A56" s="234"/>
      <c r="B56" s="22" t="s">
        <v>118</v>
      </c>
      <c r="C56" s="23">
        <f>Input!$D$16</f>
        <v>1.07</v>
      </c>
      <c r="D56" s="55">
        <v>10</v>
      </c>
      <c r="E56" s="231">
        <f>'HH comp &amp; Health'!$C$26</f>
        <v>70425</v>
      </c>
      <c r="F56" s="236">
        <f>'HH comp &amp; Health'!$C$35</f>
        <v>4714055</v>
      </c>
      <c r="G56" s="55">
        <f>SUM(Input!$D$53:$D$54)</f>
        <v>4</v>
      </c>
      <c r="H56" s="250">
        <f>Input!$I$16</f>
        <v>44075</v>
      </c>
      <c r="I56" s="2">
        <f>IF(I$49&gt;0,$E56/(1+(1/(($C56-1)*I$49/$D56)))*$G56/$F56,0)</f>
        <v>0</v>
      </c>
      <c r="J56" s="2">
        <f t="shared" si="20"/>
        <v>0</v>
      </c>
      <c r="K56" s="604">
        <f t="shared" si="20"/>
        <v>6.5330119181402375E-3</v>
      </c>
      <c r="L56" s="604">
        <f t="shared" si="20"/>
        <v>8.9931749139201211E-4</v>
      </c>
      <c r="M56" s="604">
        <f t="shared" si="20"/>
        <v>2.1229013399066068E-4</v>
      </c>
      <c r="N56" s="604">
        <f t="shared" si="20"/>
        <v>2.1229013399066068E-4</v>
      </c>
      <c r="O56" s="604">
        <f t="shared" si="20"/>
        <v>7.0931368483905663E-5</v>
      </c>
      <c r="P56" s="2">
        <f t="shared" si="20"/>
        <v>0</v>
      </c>
    </row>
    <row r="57" spans="1:17" ht="15">
      <c r="A57" s="234"/>
      <c r="B57" s="97" t="s">
        <v>119</v>
      </c>
      <c r="C57" s="222">
        <f>Input!$D$17</f>
        <v>0.9</v>
      </c>
      <c r="D57" s="228">
        <v>10</v>
      </c>
      <c r="E57" s="217" t="s">
        <v>538</v>
      </c>
      <c r="F57" s="217">
        <f>'HH comp &amp; Health'!$C$35</f>
        <v>4714055</v>
      </c>
      <c r="G57" s="228">
        <f>SUM(Input!$D$53:$D$54)</f>
        <v>4</v>
      </c>
      <c r="H57" s="249">
        <f>Input!$I$17</f>
        <v>124</v>
      </c>
      <c r="I57" s="2">
        <f t="shared" ref="I57:P57" si="21">IF(I$49&gt;0,$C$57*I$49/$D$57*$G$57,0)</f>
        <v>0</v>
      </c>
      <c r="J57" s="2">
        <f t="shared" si="21"/>
        <v>0</v>
      </c>
      <c r="K57" s="604">
        <f t="shared" si="21"/>
        <v>6.3125766331252979</v>
      </c>
      <c r="L57" s="604">
        <f t="shared" si="21"/>
        <v>0.78579792113592917</v>
      </c>
      <c r="M57" s="604">
        <f t="shared" si="21"/>
        <v>0.18335284826505013</v>
      </c>
      <c r="N57" s="604">
        <f t="shared" si="21"/>
        <v>0.18335284826505013</v>
      </c>
      <c r="O57" s="604">
        <f t="shared" si="21"/>
        <v>6.1117616088350035E-2</v>
      </c>
      <c r="P57" s="2">
        <f t="shared" si="21"/>
        <v>0</v>
      </c>
    </row>
    <row r="58" spans="1:17">
      <c r="A58" s="234"/>
      <c r="B58" s="11"/>
      <c r="C58" s="261"/>
      <c r="D58" s="177"/>
      <c r="E58" s="102"/>
      <c r="F58" s="262"/>
      <c r="G58" s="102"/>
      <c r="H58" s="262"/>
      <c r="I58" s="2"/>
      <c r="J58" s="2"/>
      <c r="K58" s="2"/>
      <c r="L58" s="2"/>
      <c r="M58" s="2"/>
      <c r="N58" s="2"/>
      <c r="O58" s="2"/>
      <c r="P58" s="2"/>
    </row>
    <row r="59" spans="1:17" ht="15">
      <c r="A59" s="234"/>
      <c r="B59" s="11"/>
      <c r="C59" s="261"/>
      <c r="D59" s="177"/>
      <c r="E59" s="102"/>
      <c r="F59" s="262"/>
      <c r="G59" s="450" t="s">
        <v>540</v>
      </c>
      <c r="H59" s="450"/>
      <c r="I59" s="451">
        <f>I51*$H51</f>
        <v>0</v>
      </c>
      <c r="J59" s="451">
        <f t="shared" ref="J59:P59" si="22">J51*$H51</f>
        <v>0</v>
      </c>
      <c r="K59" s="452">
        <f t="shared" si="22"/>
        <v>51911.093743613797</v>
      </c>
      <c r="L59" s="452">
        <f t="shared" si="22"/>
        <v>7480.2764886046307</v>
      </c>
      <c r="M59" s="452">
        <f t="shared" si="22"/>
        <v>1775.9036434290026</v>
      </c>
      <c r="N59" s="452">
        <f t="shared" si="22"/>
        <v>1775.9036434290026</v>
      </c>
      <c r="O59" s="452">
        <f t="shared" si="22"/>
        <v>594.07460619990104</v>
      </c>
      <c r="P59" s="451">
        <f t="shared" si="22"/>
        <v>0</v>
      </c>
    </row>
    <row r="60" spans="1:17" ht="15">
      <c r="A60" s="234"/>
      <c r="B60" s="11"/>
      <c r="C60" s="261"/>
      <c r="D60" s="177"/>
      <c r="E60" s="102"/>
      <c r="F60" s="262"/>
      <c r="G60" s="453" t="s">
        <v>541</v>
      </c>
      <c r="H60" s="453"/>
      <c r="I60" s="238">
        <f>I53*$H53</f>
        <v>0</v>
      </c>
      <c r="J60" s="238">
        <f t="shared" ref="J60:P60" si="23">J53*$H53</f>
        <v>0</v>
      </c>
      <c r="K60" s="454">
        <f t="shared" si="23"/>
        <v>40307.953121155821</v>
      </c>
      <c r="L60" s="454">
        <f t="shared" si="23"/>
        <v>5808.2889858789094</v>
      </c>
      <c r="M60" s="454">
        <f t="shared" si="23"/>
        <v>1378.9545864814752</v>
      </c>
      <c r="N60" s="454">
        <f t="shared" si="23"/>
        <v>1378.9545864814752</v>
      </c>
      <c r="O60" s="454">
        <f t="shared" si="23"/>
        <v>461.28735979716453</v>
      </c>
      <c r="P60" s="238">
        <f t="shared" si="23"/>
        <v>0</v>
      </c>
    </row>
    <row r="61" spans="1:17" ht="15">
      <c r="A61" s="234"/>
      <c r="B61" s="11"/>
      <c r="C61" s="261"/>
      <c r="D61" s="177"/>
      <c r="E61" s="102"/>
      <c r="F61" s="262"/>
      <c r="G61" s="450" t="s">
        <v>542</v>
      </c>
      <c r="H61" s="453"/>
      <c r="I61" s="451">
        <f>I55*$H55+I56*$H56+I57*$H57</f>
        <v>0</v>
      </c>
      <c r="J61" s="451">
        <f t="shared" ref="J61:P61" si="24">J55*$H55+J56*$H56+J57*$H57</f>
        <v>0</v>
      </c>
      <c r="K61" s="452">
        <f t="shared" si="24"/>
        <v>1490.1634612575203</v>
      </c>
      <c r="L61" s="452">
        <f t="shared" si="24"/>
        <v>198.2843157124816</v>
      </c>
      <c r="M61" s="452">
        <f t="shared" si="24"/>
        <v>46.647547645769748</v>
      </c>
      <c r="N61" s="452">
        <f t="shared" si="24"/>
        <v>46.647547645769748</v>
      </c>
      <c r="O61" s="452">
        <f t="shared" si="24"/>
        <v>15.57549443384184</v>
      </c>
      <c r="P61" s="451">
        <f t="shared" si="24"/>
        <v>0</v>
      </c>
    </row>
    <row r="62" spans="1:17" ht="15">
      <c r="A62" s="234"/>
      <c r="B62" s="11"/>
      <c r="C62" s="261"/>
      <c r="D62" s="177"/>
      <c r="E62" s="102"/>
      <c r="F62" s="262"/>
      <c r="G62" s="470" t="s">
        <v>543</v>
      </c>
      <c r="H62" s="470"/>
      <c r="I62" s="471">
        <f>I61+I59</f>
        <v>0</v>
      </c>
      <c r="J62" s="471">
        <f t="shared" ref="J62" si="25">J61+J59</f>
        <v>0</v>
      </c>
      <c r="K62" s="472">
        <f t="shared" ref="K62" si="26">K61+K59</f>
        <v>53401.257204871319</v>
      </c>
      <c r="L62" s="472">
        <f t="shared" ref="L62" si="27">L61+L59</f>
        <v>7678.5608043171123</v>
      </c>
      <c r="M62" s="472">
        <f t="shared" ref="M62" si="28">M61+M59</f>
        <v>1822.5511910747723</v>
      </c>
      <c r="N62" s="472">
        <f t="shared" ref="N62" si="29">N61+N59</f>
        <v>1822.5511910747723</v>
      </c>
      <c r="O62" s="472">
        <f t="shared" ref="O62" si="30">O61+O59</f>
        <v>609.65010063374291</v>
      </c>
      <c r="P62" s="471">
        <f t="shared" ref="P62" si="31">P61+P59</f>
        <v>0</v>
      </c>
    </row>
    <row r="63" spans="1:17">
      <c r="A63" s="234"/>
      <c r="B63" s="11"/>
      <c r="C63" s="261"/>
      <c r="D63" s="177"/>
      <c r="E63" s="102"/>
      <c r="F63" s="262"/>
      <c r="G63" s="262"/>
      <c r="H63" s="262"/>
      <c r="I63" s="262"/>
      <c r="J63" s="262"/>
      <c r="K63" s="262"/>
      <c r="L63" s="262"/>
      <c r="M63" s="262"/>
      <c r="N63" s="262"/>
      <c r="O63" s="262"/>
      <c r="P63" s="262"/>
      <c r="Q63" s="262"/>
    </row>
    <row r="64" spans="1:17">
      <c r="A64" s="234"/>
      <c r="B64" s="446" t="s">
        <v>520</v>
      </c>
      <c r="C64" s="539"/>
      <c r="D64" s="540"/>
      <c r="E64" s="540"/>
      <c r="F64" s="540"/>
      <c r="G64" s="540"/>
      <c r="H64" s="548"/>
      <c r="I64" s="384"/>
      <c r="J64" s="384"/>
      <c r="K64" s="599" t="s">
        <v>521</v>
      </c>
      <c r="L64" s="599" t="s">
        <v>522</v>
      </c>
      <c r="M64" s="599" t="s">
        <v>523</v>
      </c>
      <c r="N64" s="599" t="s">
        <v>524</v>
      </c>
      <c r="O64" s="599" t="s">
        <v>525</v>
      </c>
      <c r="P64" s="384"/>
    </row>
    <row r="65" spans="1:16">
      <c r="A65" s="234"/>
      <c r="B65" s="477" t="s">
        <v>101</v>
      </c>
      <c r="C65" s="243" t="s">
        <v>526</v>
      </c>
      <c r="D65" s="14" t="s">
        <v>527</v>
      </c>
      <c r="E65" s="14" t="s">
        <v>528</v>
      </c>
      <c r="F65" s="14" t="s">
        <v>529</v>
      </c>
      <c r="G65" s="243" t="s">
        <v>530</v>
      </c>
      <c r="H65" s="243" t="s">
        <v>531</v>
      </c>
      <c r="I65" s="541" t="s">
        <v>64</v>
      </c>
      <c r="J65" s="541" t="s">
        <v>65</v>
      </c>
      <c r="K65" s="541" t="s">
        <v>532</v>
      </c>
      <c r="L65" s="541" t="s">
        <v>533</v>
      </c>
      <c r="M65" s="541" t="s">
        <v>534</v>
      </c>
      <c r="N65" s="541" t="s">
        <v>535</v>
      </c>
      <c r="O65" s="541" t="s">
        <v>536</v>
      </c>
      <c r="P65" s="541" t="s">
        <v>71</v>
      </c>
    </row>
    <row r="66" spans="1:16" ht="15.6">
      <c r="B66" s="245" t="s">
        <v>544</v>
      </c>
      <c r="C66" s="23"/>
      <c r="D66" s="227"/>
      <c r="E66" s="233"/>
      <c r="F66" s="227"/>
      <c r="G66" s="225"/>
      <c r="H66" s="225"/>
      <c r="I66" s="545">
        <f>Input!$D$41</f>
        <v>0</v>
      </c>
      <c r="J66" s="546">
        <f>Input!$D$42</f>
        <v>2.875</v>
      </c>
      <c r="K66" s="545">
        <f>Input!$D$43</f>
        <v>0</v>
      </c>
      <c r="L66" s="545">
        <f>Input!$D$44</f>
        <v>0</v>
      </c>
      <c r="M66" s="545">
        <f>Input!$D$45</f>
        <v>0</v>
      </c>
      <c r="N66" s="545">
        <f>Input!$D$46</f>
        <v>0</v>
      </c>
      <c r="O66" s="545">
        <f>Input!$D$47</f>
        <v>0</v>
      </c>
      <c r="P66" s="546">
        <f>Input!$D$48</f>
        <v>6.6210750762379211</v>
      </c>
    </row>
    <row r="67" spans="1:16">
      <c r="B67" s="94" t="s">
        <v>108</v>
      </c>
      <c r="C67" s="23"/>
      <c r="D67" s="225"/>
      <c r="E67" s="232"/>
      <c r="F67" s="225"/>
      <c r="G67" s="226"/>
      <c r="H67" s="226"/>
      <c r="I67" s="2"/>
      <c r="J67" s="2"/>
      <c r="K67" s="2"/>
      <c r="L67" s="2"/>
      <c r="M67" s="2"/>
      <c r="N67" s="2"/>
      <c r="O67" s="2"/>
      <c r="P67" s="2"/>
    </row>
    <row r="68" spans="1:16" ht="15">
      <c r="B68" s="95" t="s">
        <v>122</v>
      </c>
      <c r="C68" s="23">
        <f>Input!$D$20</f>
        <v>1.097</v>
      </c>
      <c r="D68" s="55">
        <v>10</v>
      </c>
      <c r="E68" s="231">
        <f>E51</f>
        <v>29690</v>
      </c>
      <c r="F68" s="237">
        <f>F51</f>
        <v>2790940</v>
      </c>
      <c r="G68" s="55">
        <f>G51</f>
        <v>2</v>
      </c>
      <c r="H68" s="250">
        <f>Input!$I$20</f>
        <v>15691757</v>
      </c>
      <c r="I68" s="2">
        <f>IF(I$66&gt;0,$E68/(1+(1/(($C68-1)*I$66/$D68)))*$G68/$F68,0)</f>
        <v>0</v>
      </c>
      <c r="J68" s="604">
        <f t="shared" ref="J68:P68" si="32">IF(J$66&gt;0,$E68/(1+(1/(($C68-1)*J$66/$D68)))*$G68/$F68,0)</f>
        <v>5.7723637646092435E-4</v>
      </c>
      <c r="K68" s="2">
        <f t="shared" si="32"/>
        <v>0</v>
      </c>
      <c r="L68" s="2">
        <f t="shared" si="32"/>
        <v>0</v>
      </c>
      <c r="M68" s="2">
        <f t="shared" si="32"/>
        <v>0</v>
      </c>
      <c r="N68" s="2">
        <f t="shared" si="32"/>
        <v>0</v>
      </c>
      <c r="O68" s="2">
        <f t="shared" si="32"/>
        <v>0</v>
      </c>
      <c r="P68" s="604">
        <f t="shared" si="32"/>
        <v>1.2839754391849184E-3</v>
      </c>
    </row>
    <row r="69" spans="1:16">
      <c r="B69" s="96" t="s">
        <v>112</v>
      </c>
      <c r="C69" s="23"/>
      <c r="D69" s="225"/>
      <c r="E69" s="223"/>
      <c r="F69" s="225"/>
      <c r="G69" s="225"/>
      <c r="H69" s="225"/>
      <c r="I69" s="2"/>
      <c r="J69" s="604"/>
      <c r="K69" s="2"/>
      <c r="L69" s="2"/>
      <c r="M69" s="2"/>
      <c r="N69" s="2"/>
      <c r="O69" s="2"/>
      <c r="P69" s="604"/>
    </row>
    <row r="70" spans="1:16" ht="15">
      <c r="B70" s="95" t="s">
        <v>123</v>
      </c>
      <c r="C70" s="23">
        <f>Input!$D$22</f>
        <v>1.097</v>
      </c>
      <c r="D70" s="55">
        <v>10</v>
      </c>
      <c r="E70" s="231">
        <f>E53</f>
        <v>395580</v>
      </c>
      <c r="F70" s="237">
        <f>F53</f>
        <v>2790940</v>
      </c>
      <c r="G70" s="55">
        <f>G53</f>
        <v>2</v>
      </c>
      <c r="H70" s="250">
        <f>Input!$I$22</f>
        <v>914488</v>
      </c>
      <c r="I70" s="2">
        <f>IF(I$66&gt;0,$E70/(1+(1/(($C70-1)*I$66/$D70)))*$G70/$F70,0)</f>
        <v>0</v>
      </c>
      <c r="J70" s="604">
        <f t="shared" ref="J70:P70" si="33">IF(J$66&gt;0,$E70/(1+(1/(($C70-1)*J$66/$D70)))*$G70/$F70,0)</f>
        <v>7.6909116133517157E-3</v>
      </c>
      <c r="K70" s="2">
        <f t="shared" si="33"/>
        <v>0</v>
      </c>
      <c r="L70" s="2">
        <f t="shared" si="33"/>
        <v>0</v>
      </c>
      <c r="M70" s="2">
        <f t="shared" si="33"/>
        <v>0</v>
      </c>
      <c r="N70" s="2">
        <f t="shared" si="33"/>
        <v>0</v>
      </c>
      <c r="O70" s="2">
        <f t="shared" si="33"/>
        <v>0</v>
      </c>
      <c r="P70" s="604">
        <f t="shared" si="33"/>
        <v>1.7107275319392726E-2</v>
      </c>
    </row>
    <row r="71" spans="1:16">
      <c r="B71" s="94" t="s">
        <v>115</v>
      </c>
      <c r="C71" s="23"/>
      <c r="D71" s="225"/>
      <c r="E71" s="223"/>
      <c r="F71" s="225"/>
      <c r="G71" s="225"/>
      <c r="H71" s="225"/>
      <c r="I71" s="2"/>
      <c r="J71" s="604"/>
      <c r="K71" s="2"/>
      <c r="L71" s="2"/>
      <c r="M71" s="2"/>
      <c r="N71" s="2"/>
      <c r="O71" s="2"/>
      <c r="P71" s="604"/>
    </row>
    <row r="72" spans="1:16" ht="15">
      <c r="B72" s="95" t="s">
        <v>125</v>
      </c>
      <c r="C72" s="23">
        <f>Input!$D$24</f>
        <v>1.0469999999999999</v>
      </c>
      <c r="D72" s="55">
        <v>10</v>
      </c>
      <c r="E72" s="231">
        <f t="shared" ref="E72:G73" si="34">E55</f>
        <v>57872</v>
      </c>
      <c r="F72" s="237">
        <f t="shared" si="34"/>
        <v>4714055</v>
      </c>
      <c r="G72" s="55">
        <f t="shared" si="34"/>
        <v>4</v>
      </c>
      <c r="H72" s="250">
        <f>Input!$I$24</f>
        <v>50902</v>
      </c>
      <c r="I72" s="2">
        <f>IF(I$66&gt;0,$E72/(1+(1/(($C72-1)*I$66/$D72)))*$G72/$F72,0)</f>
        <v>0</v>
      </c>
      <c r="J72" s="604">
        <f t="shared" ref="J72:P75" si="35">IF(J$66&gt;0,$E72/(1+(1/(($C72-1)*J$66/$D72)))*$G72/$F72,0)</f>
        <v>6.5469712698407775E-4</v>
      </c>
      <c r="K72" s="2">
        <f t="shared" si="35"/>
        <v>0</v>
      </c>
      <c r="L72" s="2">
        <f t="shared" si="35"/>
        <v>0</v>
      </c>
      <c r="M72" s="2">
        <f t="shared" si="35"/>
        <v>0</v>
      </c>
      <c r="N72" s="2">
        <f t="shared" si="35"/>
        <v>0</v>
      </c>
      <c r="O72" s="2">
        <f t="shared" si="35"/>
        <v>0</v>
      </c>
      <c r="P72" s="604">
        <f t="shared" si="35"/>
        <v>1.4820108939244642E-3</v>
      </c>
    </row>
    <row r="73" spans="1:16" ht="15">
      <c r="B73" s="95" t="s">
        <v>126</v>
      </c>
      <c r="C73" s="23">
        <f>Input!$D$25</f>
        <v>1.1299999999999999</v>
      </c>
      <c r="D73" s="55">
        <v>10</v>
      </c>
      <c r="E73" s="231">
        <f t="shared" si="34"/>
        <v>70425</v>
      </c>
      <c r="F73" s="237">
        <f t="shared" si="34"/>
        <v>4714055</v>
      </c>
      <c r="G73" s="55">
        <f t="shared" si="34"/>
        <v>4</v>
      </c>
      <c r="H73" s="250">
        <f>Input!$I$25</f>
        <v>44075</v>
      </c>
      <c r="I73" s="2">
        <f>IF(I$66&gt;0,$E73/(1+(1/(($C73-1)*I$66/$D73)))*$G73/$F73,0)</f>
        <v>0</v>
      </c>
      <c r="J73" s="604">
        <f t="shared" si="35"/>
        <v>2.1529682509607794E-3</v>
      </c>
      <c r="K73" s="2">
        <f t="shared" si="35"/>
        <v>0</v>
      </c>
      <c r="L73" s="2">
        <f t="shared" si="35"/>
        <v>0</v>
      </c>
      <c r="M73" s="2">
        <f t="shared" si="35"/>
        <v>0</v>
      </c>
      <c r="N73" s="2">
        <f t="shared" si="35"/>
        <v>0</v>
      </c>
      <c r="O73" s="2">
        <f t="shared" si="35"/>
        <v>0</v>
      </c>
      <c r="P73" s="604">
        <f t="shared" si="35"/>
        <v>4.7359232864198145E-3</v>
      </c>
    </row>
    <row r="74" spans="1:16" ht="15">
      <c r="A74" s="234"/>
      <c r="B74" s="22" t="s">
        <v>211</v>
      </c>
      <c r="C74" s="23">
        <f>Input!$D$26</f>
        <v>1.1819999999999999</v>
      </c>
      <c r="D74" s="55">
        <v>10</v>
      </c>
      <c r="E74" s="231">
        <f>'HH comp &amp; Health'!$C$27</f>
        <v>6485</v>
      </c>
      <c r="F74" s="237">
        <f>'HH comp &amp; Health'!$C$38</f>
        <v>1177070</v>
      </c>
      <c r="G74" s="55">
        <f>Input!$D$54</f>
        <v>2</v>
      </c>
      <c r="H74" s="250">
        <f>Input!$I$26</f>
        <v>2529</v>
      </c>
      <c r="I74" s="2">
        <f>IF(I$66&gt;0,$E74/(1+(1/(($C74-1)*I$66/$D74)))*$G74/$F74,0)</f>
        <v>0</v>
      </c>
      <c r="J74" s="604">
        <f t="shared" si="35"/>
        <v>5.4789461767780121E-4</v>
      </c>
      <c r="K74" s="2">
        <f t="shared" si="35"/>
        <v>0</v>
      </c>
      <c r="L74" s="2">
        <f t="shared" si="35"/>
        <v>0</v>
      </c>
      <c r="M74" s="2">
        <f t="shared" si="35"/>
        <v>0</v>
      </c>
      <c r="N74" s="2">
        <f t="shared" si="35"/>
        <v>0</v>
      </c>
      <c r="O74" s="2">
        <f t="shared" si="35"/>
        <v>0</v>
      </c>
      <c r="P74" s="604">
        <f t="shared" si="35"/>
        <v>1.1850163495278191E-3</v>
      </c>
    </row>
    <row r="75" spans="1:16" ht="15">
      <c r="A75" s="234"/>
      <c r="B75" s="97" t="s">
        <v>129</v>
      </c>
      <c r="C75" s="222">
        <f>Input!$D$27</f>
        <v>1.05</v>
      </c>
      <c r="D75" s="228">
        <v>4</v>
      </c>
      <c r="E75" s="217">
        <f>'HH comp &amp; Health'!$C$29</f>
        <v>152169</v>
      </c>
      <c r="F75" s="217">
        <f>'HH comp &amp; Health'!$C$38</f>
        <v>1177070</v>
      </c>
      <c r="G75" s="228">
        <f>Input!$D$54</f>
        <v>2</v>
      </c>
      <c r="H75" s="249">
        <f>Input!$I$27</f>
        <v>178</v>
      </c>
      <c r="I75" s="2">
        <f>IF(I$66&gt;0,$E75/(1+(1/(($C75-1)*I$66/$D75)))*$G75/$F75,0)</f>
        <v>0</v>
      </c>
      <c r="J75" s="604">
        <f t="shared" si="35"/>
        <v>8.9694992708907201E-3</v>
      </c>
      <c r="K75" s="547">
        <f t="shared" si="35"/>
        <v>0</v>
      </c>
      <c r="L75" s="2">
        <f t="shared" si="35"/>
        <v>0</v>
      </c>
      <c r="M75" s="2">
        <f t="shared" si="35"/>
        <v>0</v>
      </c>
      <c r="N75" s="2">
        <f t="shared" si="35"/>
        <v>0</v>
      </c>
      <c r="O75" s="547">
        <f t="shared" si="35"/>
        <v>0</v>
      </c>
      <c r="P75" s="604">
        <f t="shared" si="35"/>
        <v>1.9763271374265597E-2</v>
      </c>
    </row>
    <row r="77" spans="1:16" ht="15">
      <c r="F77" s="458" t="s">
        <v>545</v>
      </c>
      <c r="G77" s="257" t="s">
        <v>546</v>
      </c>
      <c r="H77" s="459"/>
      <c r="I77" s="451">
        <f>I68*$H68</f>
        <v>0</v>
      </c>
      <c r="J77" s="460">
        <f t="shared" ref="J77:P77" si="36">J68*$H68</f>
        <v>9057.8529509853452</v>
      </c>
      <c r="K77" s="461">
        <f t="shared" si="36"/>
        <v>0</v>
      </c>
      <c r="L77" s="461">
        <f t="shared" si="36"/>
        <v>0</v>
      </c>
      <c r="M77" s="461">
        <f t="shared" si="36"/>
        <v>0</v>
      </c>
      <c r="N77" s="461">
        <f t="shared" si="36"/>
        <v>0</v>
      </c>
      <c r="O77" s="461">
        <f t="shared" si="36"/>
        <v>0</v>
      </c>
      <c r="P77" s="460">
        <f t="shared" si="36"/>
        <v>20147.830585658019</v>
      </c>
    </row>
    <row r="78" spans="1:16" ht="15">
      <c r="G78" s="462" t="s">
        <v>547</v>
      </c>
      <c r="H78" s="463"/>
      <c r="I78" s="238">
        <f>I70*$H70+I72*$H72+I73*$H73+I75*$H75</f>
        <v>0</v>
      </c>
      <c r="J78" s="464">
        <f t="shared" ref="J78:P78" si="37">J70*$H70+J72*$H72+J73*$H73+J75*$H75</f>
        <v>7163.0604191598422</v>
      </c>
      <c r="K78" s="465">
        <f t="shared" si="37"/>
        <v>0</v>
      </c>
      <c r="L78" s="465">
        <f t="shared" si="37"/>
        <v>0</v>
      </c>
      <c r="M78" s="465">
        <f t="shared" si="37"/>
        <v>0</v>
      </c>
      <c r="N78" s="465">
        <f t="shared" si="37"/>
        <v>0</v>
      </c>
      <c r="O78" s="465">
        <f t="shared" si="37"/>
        <v>0</v>
      </c>
      <c r="P78" s="464">
        <f t="shared" si="37"/>
        <v>15932.088991956931</v>
      </c>
    </row>
    <row r="79" spans="1:16" ht="15">
      <c r="G79" s="257" t="s">
        <v>548</v>
      </c>
      <c r="H79" s="262"/>
      <c r="I79" s="451">
        <f>I72*$H72+I73*$H73+I75*$H75</f>
        <v>0</v>
      </c>
      <c r="J79" s="460">
        <f t="shared" ref="J79:P79" si="38">J72*$H72+J73*$H73+J75*$H75</f>
        <v>129.81403968905843</v>
      </c>
      <c r="K79" s="461">
        <f t="shared" si="38"/>
        <v>0</v>
      </c>
      <c r="L79" s="461">
        <f t="shared" si="38"/>
        <v>0</v>
      </c>
      <c r="M79" s="461">
        <f t="shared" si="38"/>
        <v>0</v>
      </c>
      <c r="N79" s="461">
        <f t="shared" si="38"/>
        <v>0</v>
      </c>
      <c r="O79" s="461">
        <f t="shared" si="38"/>
        <v>0</v>
      </c>
      <c r="P79" s="460">
        <f t="shared" si="38"/>
        <v>287.69099967611567</v>
      </c>
    </row>
    <row r="80" spans="1:16" ht="15">
      <c r="G80" s="473" t="s">
        <v>549</v>
      </c>
      <c r="H80" s="474"/>
      <c r="I80" s="471">
        <f>I79+I77</f>
        <v>0</v>
      </c>
      <c r="J80" s="475">
        <f t="shared" ref="J80" si="39">J79+J77</f>
        <v>9187.6669906744028</v>
      </c>
      <c r="K80" s="476">
        <f t="shared" ref="K80" si="40">K79+K77</f>
        <v>0</v>
      </c>
      <c r="L80" s="476">
        <f t="shared" ref="L80" si="41">L79+L77</f>
        <v>0</v>
      </c>
      <c r="M80" s="476">
        <f t="shared" ref="M80" si="42">M79+M77</f>
        <v>0</v>
      </c>
      <c r="N80" s="476">
        <f t="shared" ref="N80" si="43">N79+N77</f>
        <v>0</v>
      </c>
      <c r="O80" s="476">
        <f t="shared" ref="O80" si="44">O79+O77</f>
        <v>0</v>
      </c>
      <c r="P80" s="475">
        <f t="shared" ref="P80" si="45">P79+P77</f>
        <v>20435.521585334136</v>
      </c>
    </row>
  </sheetData>
  <dataValidations count="1">
    <dataValidation type="decimal" operator="equal" allowBlank="1" showInputMessage="1" showErrorMessage="1" errorTitle="default value" error="the default value cannot be changed" promptTitle="default" sqref="C13:C16 C28:C29 C51:C54 C66:C67" xr:uid="{746E3766-9273-4F47-A564-968D8F9ED9AC}">
      <formula1>1.105</formula1>
    </dataValidation>
  </dataValidations>
  <hyperlinks>
    <hyperlink ref="A4" location="Contents!A1" display="Back to Contents" xr:uid="{B72E3DC5-674E-4965-AA45-9D8D92DED973}"/>
  </hyperlinks>
  <pageMargins left="0.19685039370078741" right="0.19685039370078741" top="0.19685039370078741" bottom="0.19685039370078741" header="0.31496062992125984" footer="0.31496062992125984"/>
  <pageSetup paperSize="9" scale="45" orientation="landscape" horizontalDpi="0" verticalDpi="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B018-2085-410F-B1BF-3DC6B28C96D1}">
  <sheetPr>
    <tabColor theme="7" tint="0.79998168889431442"/>
  </sheetPr>
  <dimension ref="A1:U80"/>
  <sheetViews>
    <sheetView workbookViewId="0">
      <selection activeCell="D75" sqref="D75"/>
    </sheetView>
  </sheetViews>
  <sheetFormatPr defaultRowHeight="14.45"/>
  <cols>
    <col min="2" max="2" width="66.140625" bestFit="1" customWidth="1"/>
    <col min="3" max="3" width="11.42578125" customWidth="1"/>
    <col min="4" max="4" width="11" bestFit="1" customWidth="1"/>
    <col min="5" max="6" width="11" customWidth="1"/>
    <col min="7" max="8" width="12.85546875" customWidth="1"/>
    <col min="9" max="16" width="16.42578125" customWidth="1"/>
    <col min="19" max="19" width="10.42578125" bestFit="1" customWidth="1"/>
  </cols>
  <sheetData>
    <row r="1" spans="1:21" ht="18.600000000000001">
      <c r="A1" s="167" t="s">
        <v>550</v>
      </c>
      <c r="B1" s="167"/>
      <c r="C1" s="167"/>
      <c r="D1" s="167"/>
      <c r="E1" s="167"/>
      <c r="F1" s="167"/>
      <c r="G1" s="167"/>
      <c r="H1" s="167"/>
      <c r="I1" s="167"/>
      <c r="J1" s="167"/>
      <c r="K1" s="167"/>
      <c r="L1" s="167"/>
      <c r="M1" s="167"/>
      <c r="N1" s="167"/>
      <c r="O1" s="167"/>
      <c r="P1" s="167"/>
    </row>
    <row r="2" spans="1:21">
      <c r="A2" s="4" t="s">
        <v>39</v>
      </c>
      <c r="B2" s="4"/>
      <c r="C2" s="4"/>
    </row>
    <row r="3" spans="1:21">
      <c r="A3" s="437" t="s">
        <v>551</v>
      </c>
      <c r="B3" s="5"/>
      <c r="C3" s="5"/>
    </row>
    <row r="4" spans="1:21">
      <c r="A4" s="380" t="s">
        <v>59</v>
      </c>
      <c r="S4" s="9"/>
      <c r="T4" s="9"/>
      <c r="U4" s="9"/>
    </row>
    <row r="5" spans="1:21">
      <c r="A5" s="38"/>
      <c r="S5" s="9"/>
      <c r="T5" s="9"/>
      <c r="U5" s="9"/>
    </row>
    <row r="6" spans="1:21">
      <c r="L6" s="448"/>
      <c r="M6" s="633"/>
      <c r="N6" s="448"/>
      <c r="R6" s="151" t="s">
        <v>519</v>
      </c>
      <c r="S6" s="208"/>
      <c r="U6" s="151"/>
    </row>
    <row r="7" spans="1:21" ht="15.6">
      <c r="A7" s="229" t="s">
        <v>140</v>
      </c>
      <c r="B7" s="230"/>
      <c r="I7" s="632" t="s">
        <v>552</v>
      </c>
      <c r="K7" s="637"/>
      <c r="L7" s="634"/>
      <c r="M7" s="634"/>
      <c r="N7" s="634"/>
      <c r="S7" s="209"/>
      <c r="T7" s="209"/>
      <c r="U7" s="209"/>
    </row>
    <row r="8" spans="1:21">
      <c r="A8" s="220"/>
      <c r="I8" s="307" t="s">
        <v>553</v>
      </c>
      <c r="J8" s="635">
        <f>'NZ nat data'!C65</f>
        <v>360099</v>
      </c>
      <c r="K8" s="635">
        <f>'NZ nat data'!C66</f>
        <v>1973.0777142229585</v>
      </c>
      <c r="L8" s="635">
        <f>'NZ nat data'!C67</f>
        <v>101236.28659302443</v>
      </c>
      <c r="M8" s="635">
        <f>'NZ nat data'!C68</f>
        <v>369512.44606453914</v>
      </c>
      <c r="N8" s="635">
        <f>'NZ nat data'!C69</f>
        <v>35432.700307558553</v>
      </c>
      <c r="O8" s="635">
        <f>'NZ nat data'!C70</f>
        <v>15531.831390996367</v>
      </c>
      <c r="P8" s="635">
        <f>'NZ nat data'!C71</f>
        <v>44645.397397201348</v>
      </c>
      <c r="S8" s="208"/>
      <c r="T8" s="151"/>
      <c r="U8" s="151"/>
    </row>
    <row r="9" spans="1:21">
      <c r="B9" s="494" t="s">
        <v>520</v>
      </c>
      <c r="C9" s="539"/>
      <c r="D9" s="540"/>
      <c r="E9" s="540"/>
      <c r="F9" s="540"/>
      <c r="G9" s="540"/>
      <c r="H9" s="548"/>
      <c r="I9" s="384"/>
      <c r="J9" s="600" t="s">
        <v>554</v>
      </c>
      <c r="K9" s="600" t="s">
        <v>521</v>
      </c>
      <c r="L9" s="600" t="s">
        <v>522</v>
      </c>
      <c r="M9" s="600" t="s">
        <v>523</v>
      </c>
      <c r="N9" s="600" t="s">
        <v>524</v>
      </c>
      <c r="O9" s="600" t="s">
        <v>525</v>
      </c>
      <c r="P9" s="600" t="s">
        <v>555</v>
      </c>
      <c r="S9" s="9"/>
      <c r="T9" s="9"/>
      <c r="U9" s="9"/>
    </row>
    <row r="10" spans="1:21">
      <c r="B10" s="477" t="s">
        <v>101</v>
      </c>
      <c r="C10" s="246" t="s">
        <v>526</v>
      </c>
      <c r="D10" s="14" t="s">
        <v>527</v>
      </c>
      <c r="E10" s="14" t="s">
        <v>528</v>
      </c>
      <c r="F10" s="14" t="s">
        <v>529</v>
      </c>
      <c r="G10" s="247" t="s">
        <v>530</v>
      </c>
      <c r="H10" s="247" t="s">
        <v>531</v>
      </c>
      <c r="I10" s="541" t="s">
        <v>64</v>
      </c>
      <c r="J10" s="541" t="s">
        <v>65</v>
      </c>
      <c r="K10" s="541" t="s">
        <v>532</v>
      </c>
      <c r="L10" s="541" t="s">
        <v>533</v>
      </c>
      <c r="M10" s="541" t="s">
        <v>534</v>
      </c>
      <c r="N10" s="541" t="s">
        <v>535</v>
      </c>
      <c r="O10" s="541" t="s">
        <v>536</v>
      </c>
      <c r="P10" s="541" t="s">
        <v>71</v>
      </c>
      <c r="S10" s="208"/>
      <c r="T10" s="151"/>
      <c r="U10" s="151"/>
    </row>
    <row r="11" spans="1:21" ht="15.6">
      <c r="B11" s="248" t="s">
        <v>537</v>
      </c>
      <c r="C11" s="16"/>
      <c r="D11" s="225"/>
      <c r="E11" s="223"/>
      <c r="F11" s="225"/>
      <c r="G11" s="225"/>
      <c r="H11" s="225"/>
      <c r="I11" s="542">
        <f>Input!$C$32</f>
        <v>0</v>
      </c>
      <c r="J11" s="542">
        <f>Input!$C$33</f>
        <v>0</v>
      </c>
      <c r="K11" s="543">
        <f>Input!$C$34</f>
        <v>17.534935092014717</v>
      </c>
      <c r="L11" s="544">
        <f>Input!$C$35</f>
        <v>2.1827720031553586</v>
      </c>
      <c r="M11" s="544">
        <f>Input!$C$36</f>
        <v>0.50931346740291705</v>
      </c>
      <c r="N11" s="544">
        <f>Input!$C$37</f>
        <v>0.50931346740291705</v>
      </c>
      <c r="O11" s="544">
        <f>Input!$C$38</f>
        <v>0.16977115580097232</v>
      </c>
      <c r="P11" s="542">
        <f>Input!$C$39</f>
        <v>0</v>
      </c>
      <c r="S11" s="208"/>
      <c r="T11" s="151"/>
      <c r="U11" s="151"/>
    </row>
    <row r="12" spans="1:21">
      <c r="B12" s="18" t="s">
        <v>108</v>
      </c>
      <c r="C12" s="19"/>
      <c r="D12" s="226"/>
      <c r="E12" s="224"/>
      <c r="F12" s="226"/>
      <c r="G12" s="226"/>
      <c r="H12" s="226"/>
      <c r="I12" s="2"/>
      <c r="J12" s="2"/>
      <c r="K12" s="2"/>
      <c r="L12" s="2"/>
      <c r="M12" s="2"/>
      <c r="N12" s="2"/>
      <c r="O12" s="2"/>
      <c r="P12" s="2"/>
      <c r="S12" s="208"/>
      <c r="T12" s="151"/>
      <c r="U12" s="151"/>
    </row>
    <row r="13" spans="1:21" ht="15">
      <c r="A13" s="234"/>
      <c r="B13" s="22" t="s">
        <v>109</v>
      </c>
      <c r="C13" s="23">
        <f>Input!$C$11</f>
        <v>1.105</v>
      </c>
      <c r="D13" s="55">
        <v>10</v>
      </c>
      <c r="E13" s="231">
        <f>'HH comp &amp; Health'!$C$21</f>
        <v>29690</v>
      </c>
      <c r="F13" s="236">
        <f>'HH comp &amp; Health'!$C$37</f>
        <v>2790940</v>
      </c>
      <c r="G13" s="55">
        <f>Input!$C$53</f>
        <v>2</v>
      </c>
      <c r="H13" s="250">
        <f>Input!$H$11</f>
        <v>15691757</v>
      </c>
      <c r="I13" s="2">
        <f>IF(I$11&gt;0,$E13/(1+(1/(($C13-1)*I$11/$D13)))*$G13/$F13,0)</f>
        <v>0</v>
      </c>
      <c r="J13" s="2">
        <f>IF(J$11&gt;0,$E13/(1+(1/(($C13-1)*J$11/$D13)))*$G13/$F13*$J$8,0)</f>
        <v>0</v>
      </c>
      <c r="K13" s="196">
        <f>IF(K$11&gt;0,$E13/(1+(1/(($C13-1)*K$11/$D13)))*$G13/$F13*$K$8,0)</f>
        <v>6.5272883200054164</v>
      </c>
      <c r="L13" s="196">
        <f>IF(L$11&gt;0,$E13/(1+(1/(($C13-1)*L$11/$D13)))*$G13/$F13*$L$8,0)</f>
        <v>48.259440570959697</v>
      </c>
      <c r="M13" s="196">
        <f>IF(M$11&gt;0,$E13/(1+(1/(($C13-1)*M$11/$D13)))*$G13/$F13*$M$8,0)</f>
        <v>41.819313111870002</v>
      </c>
      <c r="N13" s="196">
        <f>IF(N$11&gt;0,$E13/(1+(1/(($C13-1)*N$11/$D13)))*$G13/$F13*$N$8,0)</f>
        <v>4.0100711203163018</v>
      </c>
      <c r="O13" s="196">
        <f>IF(O$11&gt;0,$E13/(1+(1/(($C13-1)*O$11/$D13)))*$G13/$F13*$O$8,0)</f>
        <v>0.58801997871681466</v>
      </c>
      <c r="P13" s="2">
        <f>IF(P$11&gt;0,$E13/(1+(1/(($C13-1)*P$11/$D13)))*$G13/$F13*$P$8,0)</f>
        <v>0</v>
      </c>
      <c r="S13" s="208"/>
      <c r="T13" s="151"/>
      <c r="U13" s="151"/>
    </row>
    <row r="14" spans="1:21">
      <c r="A14" s="235"/>
      <c r="B14" s="25" t="s">
        <v>112</v>
      </c>
      <c r="C14" s="23"/>
      <c r="D14" s="225"/>
      <c r="E14" s="232"/>
      <c r="F14" s="236"/>
      <c r="G14" s="225"/>
      <c r="H14" s="225"/>
      <c r="I14" s="2"/>
      <c r="J14" s="196"/>
      <c r="K14" s="196"/>
      <c r="L14" s="196"/>
      <c r="M14" s="196"/>
      <c r="N14" s="196"/>
      <c r="O14" s="196"/>
      <c r="P14" s="2"/>
      <c r="S14" s="210"/>
      <c r="T14" s="151"/>
      <c r="U14" s="151"/>
    </row>
    <row r="15" spans="1:21" ht="15">
      <c r="A15" s="234"/>
      <c r="B15" s="22" t="s">
        <v>113</v>
      </c>
      <c r="C15" s="23">
        <f>Input!$C$13</f>
        <v>1.105</v>
      </c>
      <c r="D15" s="55">
        <v>10</v>
      </c>
      <c r="E15" s="231">
        <f>'HH comp &amp; Health'!$C$23</f>
        <v>395580</v>
      </c>
      <c r="F15" s="236">
        <f>'HH comp &amp; Health'!$C$37</f>
        <v>2790940</v>
      </c>
      <c r="G15" s="55">
        <f>Input!$C$53</f>
        <v>2</v>
      </c>
      <c r="H15" s="250">
        <f>Input!$H$13</f>
        <v>914488</v>
      </c>
      <c r="I15" s="2">
        <f>IF(I$11&gt;0,$E15/(1+(1/(($C15-1)*I$11/$D15)))*$G15/$F15,0)</f>
        <v>0</v>
      </c>
      <c r="J15" s="2">
        <f>IF(J$11&gt;0,$E15/(1+(1/(($C15-1)*J$11/$D15)))*$G15/$F15*$J$8,0)</f>
        <v>0</v>
      </c>
      <c r="K15" s="196">
        <f>IF(K$11&gt;0,$E15/(1+(1/(($C15-1)*K$11/$D15)))*$G15/$F15*$K$8,0)</f>
        <v>86.967487828485773</v>
      </c>
      <c r="L15" s="196">
        <f>IF(L$11&gt;0,$E15/(1+(1/(($C15-1)*L$11/$D15)))*$G15/$F15*$L$8,0)</f>
        <v>642.9932469201832</v>
      </c>
      <c r="M15" s="196">
        <f>IF(M$11&gt;0,$E15/(1+(1/(($C15-1)*M$11/$D15)))*$G15/$F15*$M$8,0)</f>
        <v>557.18706233726959</v>
      </c>
      <c r="N15" s="196">
        <f>IF(N$11&gt;0,$E15/(1+(1/(($C15-1)*N$11/$D15)))*$G15/$F15*$N$8,0)</f>
        <v>53.428896388505315</v>
      </c>
      <c r="O15" s="196">
        <f>IF(O$11&gt;0,$E15/(1+(1/(($C15-1)*O$11/$D15)))*$G15/$F15*$O$8,0)</f>
        <v>7.8345888575546487</v>
      </c>
      <c r="P15" s="2">
        <f>IF(P$11&gt;0,$E15/(1+(1/(($C15-1)*P$11/$D15)))*$G15/$F15*$P$8,0)</f>
        <v>0</v>
      </c>
    </row>
    <row r="16" spans="1:21">
      <c r="A16" s="235"/>
      <c r="B16" s="18" t="s">
        <v>115</v>
      </c>
      <c r="C16" s="23"/>
      <c r="D16" s="225"/>
      <c r="E16" s="232"/>
      <c r="F16" s="225"/>
      <c r="G16" s="225"/>
      <c r="H16" s="225"/>
      <c r="I16" s="2"/>
      <c r="J16" s="2"/>
      <c r="K16" s="196"/>
      <c r="L16" s="196"/>
      <c r="M16" s="196"/>
      <c r="N16" s="196"/>
      <c r="O16" s="196"/>
      <c r="P16" s="2"/>
    </row>
    <row r="17" spans="1:20" ht="15">
      <c r="A17" s="234"/>
      <c r="B17" s="22" t="s">
        <v>116</v>
      </c>
      <c r="C17" s="23">
        <f>Input!$C$15</f>
        <v>1.115</v>
      </c>
      <c r="D17" s="55">
        <v>10</v>
      </c>
      <c r="E17" s="231">
        <f>'HH comp &amp; Health'!$C$25</f>
        <v>57872</v>
      </c>
      <c r="F17" s="236">
        <f>'HH comp &amp; Health'!$C$35</f>
        <v>4714055</v>
      </c>
      <c r="G17" s="55">
        <f>SUM(Input!$C$53:$C$54)</f>
        <v>4</v>
      </c>
      <c r="H17" s="250">
        <f>Input!$H$15</f>
        <v>50902</v>
      </c>
      <c r="I17" s="2">
        <f>IF(I$11&gt;0,$E17/(1+(1/(($C17-1)*I$11/$D17)))*$G17/$F17,0)</f>
        <v>0</v>
      </c>
      <c r="J17" s="2">
        <f>IF(J$11&gt;0,$E17/(1+(1/(($C17-1)*J$11/$D17)))*$G17/$F17*$J$8,0)</f>
        <v>0</v>
      </c>
      <c r="K17" s="196">
        <f>IF(K$11&gt;0,$E17/(1+(1/(($C17-1)*K$11/$D17)))*$G17/$F17*$K$8,0)</f>
        <v>16.259283636376676</v>
      </c>
      <c r="L17" s="196">
        <f t="shared" ref="L17:L18" si="0">IF(L$11&gt;0,$E17/(1+(1/(($C17-1)*L$11/$D17)))*$G17/$F17*$L$8,0)</f>
        <v>121.73325370471963</v>
      </c>
      <c r="M17" s="196">
        <f t="shared" ref="M17:M18" si="1">IF(M$11&gt;0,$E17/(1+(1/(($C17-1)*M$11/$D17)))*$G17/$F17*$M$8,0)</f>
        <v>105.65976029122922</v>
      </c>
      <c r="N17" s="196">
        <f t="shared" ref="N17:N18" si="2">IF(N$11&gt;0,$E17/(1+(1/(($C17-1)*N$11/$D17)))*$G17/$F17*$N$8,0)</f>
        <v>10.131757836145269</v>
      </c>
      <c r="O17" s="196">
        <f t="shared" ref="O17:O18" si="3">IF(O$11&gt;0,$E17/(1+(1/(($C17-1)*O$11/$D17)))*$G17/$F17*$O$8,0)</f>
        <v>1.486179184929739</v>
      </c>
      <c r="P17" s="2">
        <f t="shared" ref="P17:P18" si="4">IF(P$11&gt;0,$E17/(1+(1/(($C17-1)*P$11/$D17)))*$G17/$F17*$P$8,0)</f>
        <v>0</v>
      </c>
    </row>
    <row r="18" spans="1:20" ht="15">
      <c r="A18" s="234"/>
      <c r="B18" s="22" t="s">
        <v>118</v>
      </c>
      <c r="C18" s="23">
        <f>Input!$C$16</f>
        <v>1.07</v>
      </c>
      <c r="D18" s="55">
        <v>10</v>
      </c>
      <c r="E18" s="231">
        <f>'HH comp &amp; Health'!$C$26</f>
        <v>70425</v>
      </c>
      <c r="F18" s="236">
        <f>'HH comp &amp; Health'!$C$35</f>
        <v>4714055</v>
      </c>
      <c r="G18" s="55">
        <f>SUM(Input!$C$53:$C$54)</f>
        <v>4</v>
      </c>
      <c r="H18" s="250">
        <f>Input!$H$16</f>
        <v>44075</v>
      </c>
      <c r="I18" s="2">
        <f>IF(I$11&gt;0,$E18/(1+(1/(($C18-1)*I$11/$D18)))*$G18/$F18,0)</f>
        <v>0</v>
      </c>
      <c r="J18" s="2">
        <f>IF(J$11&gt;0,$E18/(1+(1/(($C18-1)*J$11/$D18)))*$G18/$F18*$J$8,0)</f>
        <v>0</v>
      </c>
      <c r="K18" s="196">
        <f>IF(K$11&gt;0,$E18/(1+(1/(($C18-1)*K$11/$D18)))*$G18/$F18*$K$8,0)</f>
        <v>12.890140222435486</v>
      </c>
      <c r="L18" s="196">
        <f t="shared" si="0"/>
        <v>91.043563296681512</v>
      </c>
      <c r="M18" s="196">
        <f t="shared" si="1"/>
        <v>78.443846686257785</v>
      </c>
      <c r="N18" s="196">
        <f t="shared" si="2"/>
        <v>7.5220126959425286</v>
      </c>
      <c r="O18" s="196">
        <f t="shared" si="3"/>
        <v>1.1016940556246564</v>
      </c>
      <c r="P18" s="2">
        <f t="shared" si="4"/>
        <v>0</v>
      </c>
    </row>
    <row r="19" spans="1:20" ht="15">
      <c r="A19" s="234"/>
      <c r="B19" s="97" t="s">
        <v>119</v>
      </c>
      <c r="C19" s="222">
        <f>Input!$C$17</f>
        <v>0.9</v>
      </c>
      <c r="D19" s="228">
        <v>10</v>
      </c>
      <c r="E19" s="217" t="s">
        <v>538</v>
      </c>
      <c r="F19" s="217">
        <f>'HH comp &amp; Health'!$C$35</f>
        <v>4714055</v>
      </c>
      <c r="G19" s="228">
        <f>SUM(Input!$C$53:$C$54)</f>
        <v>4</v>
      </c>
      <c r="H19" s="249">
        <f>Input!$H$17</f>
        <v>124</v>
      </c>
      <c r="I19" s="2">
        <f>IF(I$11&gt;0,$C$19*I$11/$D$19*$G$19,0)</f>
        <v>0</v>
      </c>
      <c r="J19" s="2">
        <f>IF(J$11&gt;0,$E19/(1+(1/(($C19-1)*J$11/$D19)))*$G19/$F19*$J$8,0)</f>
        <v>0</v>
      </c>
      <c r="K19" s="601">
        <f>IF(K$11&gt;0,$C$19*K$11/$D$19*$G$19*$K$8,0)</f>
        <v>12455.204274144122</v>
      </c>
      <c r="L19" s="601">
        <f>IF(L$11&gt;0,$C$19*L$11/$D$19*$G$19*L8,0)</f>
        <v>79551.263548319737</v>
      </c>
      <c r="M19" s="601">
        <f>IF(M$11&gt;0,$C$19*M$11/$D$19*$G$19*$M$8,0)</f>
        <v>67751.159455318964</v>
      </c>
      <c r="N19" s="601">
        <f>IF(N$11&gt;0,$C$19*N$11/$D$19*$G$19*N8,0)</f>
        <v>6496.6865231127786</v>
      </c>
      <c r="O19" s="601">
        <f>IF(O$11&gt;0,$C$19*O$11/$D$19*$G$19*O8,0)</f>
        <v>949.26850810389965</v>
      </c>
      <c r="P19" s="2">
        <f>IF(P$11&gt;0,$C$19*P$11/$D$19*$G$19*P8,0)</f>
        <v>0</v>
      </c>
      <c r="R19" s="151" t="s">
        <v>539</v>
      </c>
    </row>
    <row r="20" spans="1:20">
      <c r="A20" s="234"/>
      <c r="B20" s="11"/>
      <c r="C20" s="261"/>
      <c r="D20" s="177"/>
      <c r="E20" s="102"/>
      <c r="F20" s="262"/>
      <c r="G20" s="102"/>
      <c r="H20" s="262"/>
      <c r="I20" s="2"/>
      <c r="J20" s="2"/>
      <c r="K20" s="2"/>
      <c r="L20" s="2"/>
      <c r="M20" s="2"/>
      <c r="N20" s="2"/>
      <c r="O20" s="2"/>
      <c r="P20" s="2"/>
      <c r="T20" s="151"/>
    </row>
    <row r="21" spans="1:20" ht="15">
      <c r="A21" s="234"/>
      <c r="B21" s="11"/>
      <c r="C21" s="261"/>
      <c r="D21" s="177"/>
      <c r="E21" s="102"/>
      <c r="F21" s="262"/>
      <c r="G21" s="450" t="s">
        <v>540</v>
      </c>
      <c r="H21" s="450"/>
      <c r="I21" s="451">
        <f>I13*$H13</f>
        <v>0</v>
      </c>
      <c r="J21" s="451">
        <f t="shared" ref="J21:P21" si="5">J13*$H13</f>
        <v>0</v>
      </c>
      <c r="K21" s="452">
        <f t="shared" si="5"/>
        <v>102424622.18646324</v>
      </c>
      <c r="L21" s="452">
        <f t="shared" si="5"/>
        <v>757275414.39544082</v>
      </c>
      <c r="M21" s="452">
        <f t="shared" si="5"/>
        <v>656218499.25837791</v>
      </c>
      <c r="N21" s="452">
        <f t="shared" si="5"/>
        <v>62925061.572721168</v>
      </c>
      <c r="O21" s="452">
        <f t="shared" si="5"/>
        <v>9227066.6171694268</v>
      </c>
      <c r="P21" s="451">
        <f t="shared" si="5"/>
        <v>0</v>
      </c>
      <c r="T21" s="151"/>
    </row>
    <row r="22" spans="1:20" ht="15">
      <c r="A22" s="234"/>
      <c r="B22" s="11"/>
      <c r="C22" s="261"/>
      <c r="D22" s="177"/>
      <c r="E22" s="102"/>
      <c r="F22" s="262"/>
      <c r="G22" s="453" t="s">
        <v>541</v>
      </c>
      <c r="H22" s="453"/>
      <c r="I22" s="238">
        <f>I15*$H15</f>
        <v>0</v>
      </c>
      <c r="J22" s="238">
        <f t="shared" ref="J22:P22" si="6">J15*$H15</f>
        <v>0</v>
      </c>
      <c r="K22" s="454">
        <f t="shared" si="6"/>
        <v>79530724.009296298</v>
      </c>
      <c r="L22" s="454">
        <f t="shared" si="6"/>
        <v>588009608.38954449</v>
      </c>
      <c r="M22" s="454">
        <f t="shared" si="6"/>
        <v>509540882.262685</v>
      </c>
      <c r="N22" s="454">
        <f t="shared" si="6"/>
        <v>48860084.600531451</v>
      </c>
      <c r="O22" s="454">
        <f t="shared" si="6"/>
        <v>7164637.4951674351</v>
      </c>
      <c r="P22" s="238">
        <f t="shared" si="6"/>
        <v>0</v>
      </c>
      <c r="T22" s="151"/>
    </row>
    <row r="23" spans="1:20" ht="15">
      <c r="A23" s="234"/>
      <c r="B23" s="11"/>
      <c r="C23" s="261"/>
      <c r="D23" s="177"/>
      <c r="E23" s="102"/>
      <c r="F23" s="262"/>
      <c r="G23" s="450" t="s">
        <v>542</v>
      </c>
      <c r="H23" s="450"/>
      <c r="I23" s="451">
        <f>I17*$H17+I18*$H18+I19*$H19</f>
        <v>0</v>
      </c>
      <c r="J23" s="451">
        <f t="shared" ref="J23:P23" si="7">J17*$H17+J18*$H18+J19*$H19</f>
        <v>0</v>
      </c>
      <c r="K23" s="452">
        <f t="shared" si="7"/>
        <v>2940208.3159565609</v>
      </c>
      <c r="L23" s="452">
        <f t="shared" si="7"/>
        <v>20073567.812370524</v>
      </c>
      <c r="M23" s="452">
        <f t="shared" si="7"/>
        <v>17236849.433500513</v>
      </c>
      <c r="N23" s="452">
        <f t="shared" si="7"/>
        <v>1652848.5758151179</v>
      </c>
      <c r="O23" s="452">
        <f t="shared" si="7"/>
        <v>241915.95337783388</v>
      </c>
      <c r="P23" s="451">
        <f t="shared" si="7"/>
        <v>0</v>
      </c>
      <c r="T23" s="151"/>
    </row>
    <row r="24" spans="1:20" ht="15">
      <c r="A24" s="234"/>
      <c r="B24" s="11"/>
      <c r="C24" s="261"/>
      <c r="D24" s="177"/>
      <c r="E24" s="102"/>
      <c r="F24" s="262"/>
      <c r="G24" s="455" t="s">
        <v>543</v>
      </c>
      <c r="H24" s="455"/>
      <c r="I24" s="456">
        <f>I23+I21</f>
        <v>0</v>
      </c>
      <c r="J24" s="456">
        <f t="shared" ref="J24:P24" si="8">J23+J21</f>
        <v>0</v>
      </c>
      <c r="K24" s="457">
        <f t="shared" si="8"/>
        <v>105364830.5024198</v>
      </c>
      <c r="L24" s="457">
        <f t="shared" si="8"/>
        <v>777348982.20781136</v>
      </c>
      <c r="M24" s="457">
        <f t="shared" si="8"/>
        <v>673455348.69187844</v>
      </c>
      <c r="N24" s="457">
        <f t="shared" si="8"/>
        <v>64577910.148536287</v>
      </c>
      <c r="O24" s="457">
        <f t="shared" si="8"/>
        <v>9468982.5705472603</v>
      </c>
      <c r="P24" s="456">
        <f t="shared" si="8"/>
        <v>0</v>
      </c>
      <c r="T24" s="151"/>
    </row>
    <row r="25" spans="1:20">
      <c r="A25" s="234"/>
      <c r="B25" s="11"/>
      <c r="C25" s="261"/>
      <c r="D25" s="177"/>
      <c r="E25" s="102"/>
      <c r="F25" s="262"/>
      <c r="G25" s="262"/>
      <c r="H25" s="262"/>
      <c r="I25" s="262"/>
      <c r="J25" s="262"/>
      <c r="K25" s="262"/>
      <c r="L25" s="262"/>
      <c r="M25" s="262"/>
      <c r="N25" s="262"/>
      <c r="O25" s="262"/>
      <c r="P25" s="262"/>
      <c r="Q25" s="262"/>
      <c r="R25" s="262"/>
      <c r="S25" s="262"/>
      <c r="T25" s="151"/>
    </row>
    <row r="26" spans="1:20">
      <c r="A26" s="234"/>
      <c r="B26" s="446" t="s">
        <v>520</v>
      </c>
      <c r="C26" s="539"/>
      <c r="D26" s="540"/>
      <c r="E26" s="540"/>
      <c r="F26" s="540"/>
      <c r="G26" s="540"/>
      <c r="H26" s="548"/>
      <c r="I26" s="384"/>
      <c r="J26" s="600" t="s">
        <v>554</v>
      </c>
      <c r="K26" s="599" t="s">
        <v>521</v>
      </c>
      <c r="L26" s="599" t="s">
        <v>522</v>
      </c>
      <c r="M26" s="599" t="s">
        <v>523</v>
      </c>
      <c r="N26" s="599" t="s">
        <v>524</v>
      </c>
      <c r="O26" s="599" t="s">
        <v>525</v>
      </c>
      <c r="P26" s="600" t="s">
        <v>555</v>
      </c>
      <c r="Q26" s="262"/>
      <c r="R26" s="262"/>
      <c r="S26" s="262"/>
      <c r="T26" s="151"/>
    </row>
    <row r="27" spans="1:20">
      <c r="A27" s="234"/>
      <c r="B27" s="477" t="s">
        <v>101</v>
      </c>
      <c r="C27" s="246" t="s">
        <v>526</v>
      </c>
      <c r="D27" s="14" t="s">
        <v>527</v>
      </c>
      <c r="E27" s="14" t="s">
        <v>528</v>
      </c>
      <c r="F27" s="14" t="s">
        <v>529</v>
      </c>
      <c r="G27" s="247" t="s">
        <v>530</v>
      </c>
      <c r="H27" s="247" t="s">
        <v>531</v>
      </c>
      <c r="I27" s="541" t="s">
        <v>64</v>
      </c>
      <c r="J27" s="541" t="s">
        <v>65</v>
      </c>
      <c r="K27" s="541" t="s">
        <v>532</v>
      </c>
      <c r="L27" s="541" t="s">
        <v>533</v>
      </c>
      <c r="M27" s="541" t="s">
        <v>534</v>
      </c>
      <c r="N27" s="541" t="s">
        <v>535</v>
      </c>
      <c r="O27" s="541" t="s">
        <v>536</v>
      </c>
      <c r="P27" s="541" t="s">
        <v>71</v>
      </c>
      <c r="T27" s="151"/>
    </row>
    <row r="28" spans="1:20" ht="15.6">
      <c r="B28" s="260" t="s">
        <v>544</v>
      </c>
      <c r="C28" s="23"/>
      <c r="D28" s="227"/>
      <c r="E28" s="233"/>
      <c r="F28" s="227"/>
      <c r="G28" s="225"/>
      <c r="H28" s="225"/>
      <c r="I28" s="545">
        <f>Input!$C$41</f>
        <v>0</v>
      </c>
      <c r="J28" s="546">
        <f>Input!$C$42</f>
        <v>2.875</v>
      </c>
      <c r="K28" s="545">
        <f>Input!$C$43</f>
        <v>0</v>
      </c>
      <c r="L28" s="545">
        <f>Input!$C$44</f>
        <v>0</v>
      </c>
      <c r="M28" s="545">
        <f>Input!$C$45</f>
        <v>0</v>
      </c>
      <c r="N28" s="545">
        <f>Input!$C$46</f>
        <v>0</v>
      </c>
      <c r="O28" s="545">
        <f>Input!$C$47</f>
        <v>0</v>
      </c>
      <c r="P28" s="546">
        <f>Input!$C$48</f>
        <v>6.6210750762379211</v>
      </c>
    </row>
    <row r="29" spans="1:20">
      <c r="B29" s="94" t="s">
        <v>108</v>
      </c>
      <c r="C29" s="23"/>
      <c r="D29" s="225"/>
      <c r="E29" s="232"/>
      <c r="F29" s="225"/>
      <c r="G29" s="226"/>
      <c r="H29" s="226"/>
      <c r="I29" s="2"/>
      <c r="J29" s="2"/>
      <c r="K29" s="2"/>
      <c r="L29" s="2"/>
      <c r="M29" s="2"/>
      <c r="N29" s="2"/>
      <c r="O29" s="2"/>
      <c r="P29" s="2"/>
    </row>
    <row r="30" spans="1:20" ht="15">
      <c r="B30" s="95" t="s">
        <v>122</v>
      </c>
      <c r="C30" s="23">
        <f>Input!$C$20</f>
        <v>1.097</v>
      </c>
      <c r="D30" s="55">
        <v>10</v>
      </c>
      <c r="E30" s="231">
        <f>E13</f>
        <v>29690</v>
      </c>
      <c r="F30" s="237">
        <f>F13</f>
        <v>2790940</v>
      </c>
      <c r="G30" s="55">
        <f>G13</f>
        <v>2</v>
      </c>
      <c r="H30" s="250">
        <f>Input!$H$20</f>
        <v>15691757</v>
      </c>
      <c r="I30" s="2">
        <f>IF(I$28&gt;0,$E30/(1+(1/(($C30-1)*I$28/$D30)))*$G30/$F30,0)</f>
        <v>0</v>
      </c>
      <c r="J30" s="547">
        <f>IF(J$28&gt;0,$E30/(1+(1/(($C30-1)*J$28/$D30)))*$G30/$F30*$J$8,0)</f>
        <v>207.8622419272024</v>
      </c>
      <c r="K30" s="2">
        <f>IF(K$28&gt;0,$E30/(1+(1/(($C30-1)*K$28/$D30)))*$G30/$F30*$K$8,0)</f>
        <v>0</v>
      </c>
      <c r="L30" s="2">
        <f>IF(L$28&gt;0,$E30/(1+(1/(($C30-1)*L$28/$D30)))*$G30/$F30*$L$8,0)</f>
        <v>0</v>
      </c>
      <c r="M30" s="2">
        <f>IF(M$28&gt;0,$E30/(1+(1/(($C30-1)*M$28/$D30)))*$G30/$F30*$M$8,0)</f>
        <v>0</v>
      </c>
      <c r="N30" s="2">
        <f>IF(N$28&gt;0,$E30/(1+(1/(($C30-1)*N$28/$D30)))*$G30/$F30*$N$8,0)</f>
        <v>0</v>
      </c>
      <c r="O30" s="2">
        <f>IF(O$28&gt;0,$E30/(1+(1/(($C30-1)*O$28/$D30)))*$G30/$F30*$O$8,0)</f>
        <v>0</v>
      </c>
      <c r="P30" s="547">
        <f>IF(P$28&gt;0,$E30/(1+(1/(($C30-1)*P$28/$D30)))*$G30/$F30*$P$8,0)</f>
        <v>57.32359373065681</v>
      </c>
    </row>
    <row r="31" spans="1:20">
      <c r="B31" s="96" t="s">
        <v>112</v>
      </c>
      <c r="C31" s="23"/>
      <c r="D31" s="225"/>
      <c r="E31" s="223"/>
      <c r="F31" s="225"/>
      <c r="G31" s="225"/>
      <c r="H31" s="225"/>
      <c r="I31" s="2"/>
      <c r="J31" s="547"/>
      <c r="K31" s="2"/>
      <c r="L31" s="2"/>
      <c r="M31" s="2"/>
      <c r="N31" s="2"/>
      <c r="O31" s="2"/>
      <c r="P31" s="547"/>
    </row>
    <row r="32" spans="1:20" ht="15">
      <c r="B32" s="95" t="s">
        <v>123</v>
      </c>
      <c r="C32" s="23">
        <f>Input!$C$22</f>
        <v>1.097</v>
      </c>
      <c r="D32" s="55">
        <v>10</v>
      </c>
      <c r="E32" s="231">
        <f>E15</f>
        <v>395580</v>
      </c>
      <c r="F32" s="237">
        <f>F15</f>
        <v>2790940</v>
      </c>
      <c r="G32" s="55">
        <f>G15</f>
        <v>2</v>
      </c>
      <c r="H32" s="250">
        <f>Input!$H$22</f>
        <v>914488</v>
      </c>
      <c r="I32" s="2">
        <f>IF(I$28&gt;0,$E32/(1+(1/(($C32-1)*I$28/$D32)))*$G32/$F32,0)</f>
        <v>0</v>
      </c>
      <c r="J32" s="601">
        <f>IF(J$28&gt;0,$E32/(1+(1/(($C32-1)*J$28/$D32)))*$G32/$F32*$J$8,0)</f>
        <v>2769.4895810563394</v>
      </c>
      <c r="K32" s="2">
        <f>IF(K$28&gt;0,$E32/(1+(1/(($C32-1)*K$28/$D32)))*$G32/$F32*$K$8,0)</f>
        <v>0</v>
      </c>
      <c r="L32" s="2">
        <f>IF(L$28&gt;0,$E32/(1+(1/(($C32-1)*L$28/$D32)))*$G32/$F32*$L$8,0)</f>
        <v>0</v>
      </c>
      <c r="M32" s="2">
        <f>IF(M$28&gt;0,$E32/(1+(1/(($C32-1)*M$28/$D32)))*$G32/$F32*$M$8,0)</f>
        <v>0</v>
      </c>
      <c r="N32" s="2">
        <f>IF(N$28&gt;0,$E32/(1+(1/(($C32-1)*N$28/$D32)))*$G32/$F32*$N$8,0)</f>
        <v>0</v>
      </c>
      <c r="O32" s="2">
        <f>IF(O$28&gt;0,$E32/(1+(1/(($C32-1)*O$28/$D32)))*$G32/$F32*$O$8,0)</f>
        <v>0</v>
      </c>
      <c r="P32" s="547">
        <f>IF(P$28&gt;0,$E32/(1+(1/(($C32-1)*P$28/$D32)))*$G32/$F32*$P$8,0)</f>
        <v>763.76110501762287</v>
      </c>
    </row>
    <row r="33" spans="1:18">
      <c r="B33" s="94" t="s">
        <v>115</v>
      </c>
      <c r="C33" s="23"/>
      <c r="D33" s="225"/>
      <c r="E33" s="223"/>
      <c r="F33" s="225"/>
      <c r="G33" s="225"/>
      <c r="H33" s="225"/>
      <c r="I33" s="2"/>
      <c r="J33" s="547"/>
      <c r="K33" s="2"/>
      <c r="L33" s="2"/>
      <c r="M33" s="2"/>
      <c r="N33" s="2"/>
      <c r="O33" s="2"/>
      <c r="P33" s="547"/>
    </row>
    <row r="34" spans="1:18" ht="15">
      <c r="B34" s="95" t="s">
        <v>125</v>
      </c>
      <c r="C34" s="23">
        <f>Input!$C$24</f>
        <v>1.0469999999999999</v>
      </c>
      <c r="D34" s="55">
        <v>10</v>
      </c>
      <c r="E34" s="231">
        <f t="shared" ref="E34:G35" si="9">E17</f>
        <v>57872</v>
      </c>
      <c r="F34" s="237">
        <f t="shared" si="9"/>
        <v>4714055</v>
      </c>
      <c r="G34" s="55">
        <f t="shared" si="9"/>
        <v>4</v>
      </c>
      <c r="H34" s="250">
        <f>Input!$H$24</f>
        <v>50902</v>
      </c>
      <c r="I34" s="2">
        <f>IF(I$28&gt;0,$E34/(1+(1/(($C34-1)*I$28/$D34)))*$G34/$F34,0)</f>
        <v>0</v>
      </c>
      <c r="J34" s="547">
        <f>IF(J$28&gt;0,$E34/(1+(1/(($C34-1)*J$28/$D34)))*$G34/$F34*$J$8,0)</f>
        <v>235.75578072983942</v>
      </c>
      <c r="K34" s="2">
        <f t="shared" ref="K34:K37" si="10">IF(K$28&gt;0,$E34/(1+(1/(($C34-1)*K$28/$D34)))*$G34/$F34*$K$8,0)</f>
        <v>0</v>
      </c>
      <c r="L34" s="2">
        <f t="shared" ref="L34:L37" si="11">IF(L$28&gt;0,$E34/(1+(1/(($C34-1)*L$28/$D34)))*$G34/$F34*$L$8,0)</f>
        <v>0</v>
      </c>
      <c r="M34" s="2">
        <f t="shared" ref="M34:M37" si="12">IF(M$28&gt;0,$E34/(1+(1/(($C34-1)*M$28/$D34)))*$G34/$F34*$M$8,0)</f>
        <v>0</v>
      </c>
      <c r="N34" s="2">
        <f t="shared" ref="N34:N37" si="13">IF(N$28&gt;0,$E34/(1+(1/(($C34-1)*N$28/$D34)))*$G34/$F34*$N$8,0)</f>
        <v>0</v>
      </c>
      <c r="O34" s="2">
        <f t="shared" ref="O34:O37" si="14">IF(O$28&gt;0,$E34/(1+(1/(($C34-1)*O$28/$D34)))*$G34/$F34*$O$8,0)</f>
        <v>0</v>
      </c>
      <c r="P34" s="547">
        <f t="shared" ref="P34:P37" si="15">IF(P$28&gt;0,$E34/(1+(1/(($C34-1)*P$28/$D34)))*$G34/$F34*$P$8,0)</f>
        <v>66.16496530623931</v>
      </c>
    </row>
    <row r="35" spans="1:18" ht="15">
      <c r="B35" s="95" t="s">
        <v>126</v>
      </c>
      <c r="C35" s="23">
        <f>Input!$C$25</f>
        <v>1.1299999999999999</v>
      </c>
      <c r="D35" s="55">
        <v>10</v>
      </c>
      <c r="E35" s="231">
        <f t="shared" si="9"/>
        <v>70425</v>
      </c>
      <c r="F35" s="237">
        <f t="shared" si="9"/>
        <v>4714055</v>
      </c>
      <c r="G35" s="55">
        <f t="shared" si="9"/>
        <v>4</v>
      </c>
      <c r="H35" s="250">
        <f>Input!$H$25</f>
        <v>44075</v>
      </c>
      <c r="I35" s="2">
        <f>IF(I$28&gt;0,$E35/(1+(1/(($C35-1)*I$28/$D35)))*$G35/$F35,0)</f>
        <v>0</v>
      </c>
      <c r="J35" s="547">
        <f>IF(J$28&gt;0,$E35/(1+(1/(($C35-1)*J$28/$D35)))*$G35/$F35*$J$8,0)</f>
        <v>775.28171420272565</v>
      </c>
      <c r="K35" s="2">
        <f t="shared" si="10"/>
        <v>0</v>
      </c>
      <c r="L35" s="2">
        <f t="shared" si="11"/>
        <v>0</v>
      </c>
      <c r="M35" s="2">
        <f t="shared" si="12"/>
        <v>0</v>
      </c>
      <c r="N35" s="2">
        <f t="shared" si="13"/>
        <v>0</v>
      </c>
      <c r="O35" s="2">
        <f t="shared" si="14"/>
        <v>0</v>
      </c>
      <c r="P35" s="547">
        <f t="shared" si="15"/>
        <v>211.43717716487245</v>
      </c>
    </row>
    <row r="36" spans="1:18" ht="15">
      <c r="A36" s="234"/>
      <c r="B36" s="22" t="s">
        <v>211</v>
      </c>
      <c r="C36" s="23">
        <f>Input!$C$26</f>
        <v>1.1819999999999999</v>
      </c>
      <c r="D36" s="55">
        <v>10</v>
      </c>
      <c r="E36" s="231">
        <f>'HH comp &amp; Health'!$C$27</f>
        <v>6485</v>
      </c>
      <c r="F36" s="237">
        <f>'HH comp &amp; Health'!$C$38</f>
        <v>1177070</v>
      </c>
      <c r="G36" s="55">
        <f>Input!$C$54</f>
        <v>2</v>
      </c>
      <c r="H36" s="250">
        <f>Input!$H$26</f>
        <v>2529</v>
      </c>
      <c r="I36" s="2">
        <f>IF(I$28&gt;0,$E36/(1+(1/(($C36-1)*I$28/$D36)))*$G36/$F36,0)</f>
        <v>0</v>
      </c>
      <c r="J36" s="547">
        <f>IF(J$28&gt;0,$E36/(1+(1/(($C36-1)*J$28/$D36)))*$G36/$F36*$J$8,0)</f>
        <v>197.29630393115855</v>
      </c>
      <c r="K36" s="2">
        <f t="shared" si="10"/>
        <v>0</v>
      </c>
      <c r="L36" s="2">
        <f t="shared" si="11"/>
        <v>0</v>
      </c>
      <c r="M36" s="2">
        <f t="shared" si="12"/>
        <v>0</v>
      </c>
      <c r="N36" s="2">
        <f t="shared" si="13"/>
        <v>0</v>
      </c>
      <c r="O36" s="2">
        <f t="shared" si="14"/>
        <v>0</v>
      </c>
      <c r="P36" s="547">
        <f t="shared" si="15"/>
        <v>52.905525846850338</v>
      </c>
    </row>
    <row r="37" spans="1:18" ht="15">
      <c r="A37" s="234"/>
      <c r="B37" s="97" t="s">
        <v>129</v>
      </c>
      <c r="C37" s="222">
        <f>Input!$C$27</f>
        <v>1.05</v>
      </c>
      <c r="D37" s="228">
        <v>4</v>
      </c>
      <c r="E37" s="217">
        <f>'HH comp &amp; Health'!$C$29</f>
        <v>152169</v>
      </c>
      <c r="F37" s="217">
        <f>'HH comp &amp; Health'!$C$38</f>
        <v>1177070</v>
      </c>
      <c r="G37" s="228">
        <f>Input!$C$54</f>
        <v>2</v>
      </c>
      <c r="H37" s="249">
        <f>Input!$H$27</f>
        <v>178</v>
      </c>
      <c r="I37" s="2">
        <f>IF(I$28&gt;0,$E37/(1+(1/(($C37-1)*I$28/$D37)))*$G37/$F37,0)</f>
        <v>0</v>
      </c>
      <c r="J37" s="601">
        <f>IF(J$28&gt;0,$E37/(1+(1/(($C37-1)*J$28/$D37)))*$G37/$F37*$J$8,0)</f>
        <v>3229.9077179484775</v>
      </c>
      <c r="K37" s="2">
        <f t="shared" si="10"/>
        <v>0</v>
      </c>
      <c r="L37" s="2">
        <f t="shared" si="11"/>
        <v>0</v>
      </c>
      <c r="M37" s="2">
        <f t="shared" si="12"/>
        <v>0</v>
      </c>
      <c r="N37" s="2">
        <f t="shared" si="13"/>
        <v>0</v>
      </c>
      <c r="O37" s="2">
        <f t="shared" si="14"/>
        <v>0</v>
      </c>
      <c r="P37" s="547">
        <f t="shared" si="15"/>
        <v>882.33910437282123</v>
      </c>
    </row>
    <row r="39" spans="1:18" ht="15">
      <c r="F39" s="458" t="s">
        <v>545</v>
      </c>
      <c r="G39" s="257" t="s">
        <v>546</v>
      </c>
      <c r="H39" s="459"/>
      <c r="I39" s="451">
        <f>I30*$H30</f>
        <v>0</v>
      </c>
      <c r="J39" s="460">
        <f t="shared" ref="J39:P39" si="16">J30*$H30</f>
        <v>3261723789.7968717</v>
      </c>
      <c r="K39" s="461">
        <f t="shared" si="16"/>
        <v>0</v>
      </c>
      <c r="L39" s="461">
        <f t="shared" si="16"/>
        <v>0</v>
      </c>
      <c r="M39" s="461">
        <f t="shared" si="16"/>
        <v>0</v>
      </c>
      <c r="N39" s="461">
        <f t="shared" si="16"/>
        <v>0</v>
      </c>
      <c r="O39" s="461">
        <f t="shared" si="16"/>
        <v>0</v>
      </c>
      <c r="P39" s="460">
        <f t="shared" si="16"/>
        <v>899507903.1881901</v>
      </c>
    </row>
    <row r="40" spans="1:18" ht="15">
      <c r="G40" s="462" t="s">
        <v>547</v>
      </c>
      <c r="H40" s="463"/>
      <c r="I40" s="238">
        <f>I32*$H32+I34*$H34+I35*$H35+I37*$H37</f>
        <v>0</v>
      </c>
      <c r="J40" s="464">
        <f t="shared" ref="J40:P40" si="17">J32*$H32+J34*$H34+J35*$H35+J37*$H37</f>
        <v>2579410893.8790398</v>
      </c>
      <c r="K40" s="465">
        <f t="shared" si="17"/>
        <v>0</v>
      </c>
      <c r="L40" s="465">
        <f t="shared" si="17"/>
        <v>0</v>
      </c>
      <c r="M40" s="465">
        <f t="shared" si="17"/>
        <v>0</v>
      </c>
      <c r="N40" s="465">
        <f t="shared" si="17"/>
        <v>0</v>
      </c>
      <c r="O40" s="465">
        <f t="shared" si="17"/>
        <v>0</v>
      </c>
      <c r="P40" s="464">
        <f t="shared" si="17"/>
        <v>711294444.41349435</v>
      </c>
    </row>
    <row r="41" spans="1:18" ht="15">
      <c r="G41" s="257" t="s">
        <v>548</v>
      </c>
      <c r="H41" s="459"/>
      <c r="I41" s="451">
        <f>I34*$H34+I35*$H35+I37*$H37</f>
        <v>0</v>
      </c>
      <c r="J41" s="460">
        <f t="shared" ref="J41:P41" si="18">J34*$H34+J35*$H35+J37*$H37</f>
        <v>46745905.877990246</v>
      </c>
      <c r="K41" s="461">
        <f t="shared" si="18"/>
        <v>0</v>
      </c>
      <c r="L41" s="461">
        <f t="shared" si="18"/>
        <v>0</v>
      </c>
      <c r="M41" s="461">
        <f t="shared" si="18"/>
        <v>0</v>
      </c>
      <c r="N41" s="461">
        <f t="shared" si="18"/>
        <v>0</v>
      </c>
      <c r="O41" s="461">
        <f t="shared" si="18"/>
        <v>0</v>
      </c>
      <c r="P41" s="460">
        <f t="shared" si="18"/>
        <v>12844079.008138308</v>
      </c>
      <c r="R41" s="689"/>
    </row>
    <row r="42" spans="1:18" ht="15">
      <c r="G42" s="466" t="s">
        <v>549</v>
      </c>
      <c r="H42" s="467"/>
      <c r="I42" s="456">
        <f>I41+I39</f>
        <v>0</v>
      </c>
      <c r="J42" s="468">
        <f t="shared" ref="J42:P42" si="19">J41+J39</f>
        <v>3308469695.6748619</v>
      </c>
      <c r="K42" s="469">
        <f t="shared" si="19"/>
        <v>0</v>
      </c>
      <c r="L42" s="469">
        <f t="shared" si="19"/>
        <v>0</v>
      </c>
      <c r="M42" s="469">
        <f t="shared" si="19"/>
        <v>0</v>
      </c>
      <c r="N42" s="469">
        <f t="shared" si="19"/>
        <v>0</v>
      </c>
      <c r="O42" s="469">
        <f t="shared" si="19"/>
        <v>0</v>
      </c>
      <c r="P42" s="468">
        <f t="shared" si="19"/>
        <v>912351982.1963284</v>
      </c>
    </row>
    <row r="44" spans="1:18">
      <c r="I44" s="448"/>
      <c r="J44" s="448"/>
      <c r="K44" s="448"/>
      <c r="L44" s="448"/>
      <c r="M44" s="633">
        <f t="shared" ref="M44" si="20">M6</f>
        <v>0</v>
      </c>
      <c r="N44" s="448"/>
    </row>
    <row r="45" spans="1:18" ht="15.6">
      <c r="A45" s="241" t="s">
        <v>161</v>
      </c>
      <c r="B45" s="242"/>
      <c r="I45" s="632" t="s">
        <v>552</v>
      </c>
      <c r="J45" s="448"/>
      <c r="K45" s="448"/>
      <c r="L45" s="634"/>
      <c r="M45" s="634"/>
      <c r="N45" s="634"/>
    </row>
    <row r="46" spans="1:18">
      <c r="A46" s="220"/>
      <c r="I46" s="307" t="s">
        <v>553</v>
      </c>
      <c r="J46" s="635">
        <f>J8</f>
        <v>360099</v>
      </c>
      <c r="K46" s="635">
        <f t="shared" ref="K46:P46" si="21">K8</f>
        <v>1973.0777142229585</v>
      </c>
      <c r="L46" s="635">
        <f t="shared" si="21"/>
        <v>101236.28659302443</v>
      </c>
      <c r="M46" s="635">
        <f t="shared" si="21"/>
        <v>369512.44606453914</v>
      </c>
      <c r="N46" s="635">
        <f t="shared" si="21"/>
        <v>35432.700307558553</v>
      </c>
      <c r="O46" s="635">
        <f t="shared" si="21"/>
        <v>15531.831390996367</v>
      </c>
      <c r="P46" s="635">
        <f t="shared" si="21"/>
        <v>44645.397397201348</v>
      </c>
    </row>
    <row r="47" spans="1:18">
      <c r="B47" s="446" t="s">
        <v>520</v>
      </c>
      <c r="C47" s="539"/>
      <c r="D47" s="540"/>
      <c r="E47" s="540"/>
      <c r="F47" s="540"/>
      <c r="G47" s="540"/>
      <c r="H47" s="548"/>
      <c r="I47" s="384"/>
      <c r="J47" s="600" t="s">
        <v>554</v>
      </c>
      <c r="K47" s="599" t="s">
        <v>521</v>
      </c>
      <c r="L47" s="599" t="s">
        <v>522</v>
      </c>
      <c r="M47" s="599" t="s">
        <v>523</v>
      </c>
      <c r="N47" s="599" t="s">
        <v>524</v>
      </c>
      <c r="O47" s="599" t="s">
        <v>525</v>
      </c>
      <c r="P47" s="600" t="s">
        <v>555</v>
      </c>
    </row>
    <row r="48" spans="1:18">
      <c r="B48" s="477" t="s">
        <v>101</v>
      </c>
      <c r="C48" s="243" t="s">
        <v>526</v>
      </c>
      <c r="D48" s="14" t="s">
        <v>527</v>
      </c>
      <c r="E48" s="14" t="s">
        <v>528</v>
      </c>
      <c r="F48" s="14" t="s">
        <v>529</v>
      </c>
      <c r="G48" s="243" t="s">
        <v>530</v>
      </c>
      <c r="H48" s="243" t="s">
        <v>531</v>
      </c>
      <c r="I48" s="541" t="s">
        <v>64</v>
      </c>
      <c r="J48" s="541" t="s">
        <v>65</v>
      </c>
      <c r="K48" s="541" t="s">
        <v>532</v>
      </c>
      <c r="L48" s="541" t="s">
        <v>533</v>
      </c>
      <c r="M48" s="541" t="s">
        <v>534</v>
      </c>
      <c r="N48" s="541" t="s">
        <v>535</v>
      </c>
      <c r="O48" s="541" t="s">
        <v>536</v>
      </c>
      <c r="P48" s="541" t="s">
        <v>71</v>
      </c>
    </row>
    <row r="49" spans="1:18" ht="15.6">
      <c r="B49" s="244" t="s">
        <v>537</v>
      </c>
      <c r="C49" s="16"/>
      <c r="D49" s="225"/>
      <c r="E49" s="223"/>
      <c r="F49" s="225"/>
      <c r="G49" s="225"/>
      <c r="H49" s="225"/>
      <c r="I49" s="542">
        <f>Input!$D$32</f>
        <v>0</v>
      </c>
      <c r="J49" s="542">
        <f>Input!$D$33</f>
        <v>0</v>
      </c>
      <c r="K49" s="543">
        <f>Input!$D$34</f>
        <v>17.534935092014717</v>
      </c>
      <c r="L49" s="544">
        <f>Input!$D$35</f>
        <v>2.1827720031553586</v>
      </c>
      <c r="M49" s="544">
        <f>Input!$D$36</f>
        <v>0.50931346740291705</v>
      </c>
      <c r="N49" s="544">
        <f>Input!$D$37</f>
        <v>0.50931346740291705</v>
      </c>
      <c r="O49" s="544">
        <f>Input!$D$38</f>
        <v>0.16977115580097232</v>
      </c>
      <c r="P49" s="542">
        <f>Input!$D$39</f>
        <v>0</v>
      </c>
    </row>
    <row r="50" spans="1:18">
      <c r="B50" s="18" t="s">
        <v>108</v>
      </c>
      <c r="C50" s="19"/>
      <c r="D50" s="226"/>
      <c r="E50" s="224"/>
      <c r="F50" s="226"/>
      <c r="G50" s="226"/>
      <c r="H50" s="226"/>
      <c r="I50" s="2"/>
      <c r="J50" s="2"/>
      <c r="K50" s="2"/>
      <c r="L50" s="2"/>
      <c r="M50" s="2"/>
      <c r="N50" s="2"/>
      <c r="O50" s="2"/>
      <c r="P50" s="2"/>
    </row>
    <row r="51" spans="1:18" ht="15">
      <c r="A51" s="234"/>
      <c r="B51" s="22" t="s">
        <v>109</v>
      </c>
      <c r="C51" s="23">
        <f>Input!$D$11</f>
        <v>1.105</v>
      </c>
      <c r="D51" s="55">
        <v>10</v>
      </c>
      <c r="E51" s="231">
        <f>'HH comp &amp; Health'!$C$21</f>
        <v>29690</v>
      </c>
      <c r="F51" s="236">
        <f>'HH comp &amp; Health'!$C$37</f>
        <v>2790940</v>
      </c>
      <c r="G51" s="55">
        <f>Input!$D$53</f>
        <v>2</v>
      </c>
      <c r="H51" s="250">
        <f>Input!$I$11</f>
        <v>15691757</v>
      </c>
      <c r="I51" s="2">
        <f>IF(I$49&gt;0,$E51/(1+(1/(($C51-1)*I$49/$D51)))*$G51/$F51,0)</f>
        <v>0</v>
      </c>
      <c r="J51" s="2">
        <f>IF(J$49&gt;0,$E51/(1+(1/(($C51-1)*J$49/$D51)))*$G51/$F51*$J$46,0)</f>
        <v>0</v>
      </c>
      <c r="K51" s="196">
        <f>IF(K$49&gt;0,$E51/(1+(1/(($C51-1)*K$49/$D51)))*$G51/$F51*$K$46,0)</f>
        <v>6.5272883200054164</v>
      </c>
      <c r="L51" s="196">
        <f>IF(L$49&gt;0,$E51/(1+(1/(($C51-1)*L$49/$D51)))*$G51/$F51*$L$46,0)</f>
        <v>48.259440570959697</v>
      </c>
      <c r="M51" s="196">
        <f>IF(M$49&gt;0,$E51/(1+(1/(($C51-1)*M$49/$D51)))*$G51/$F51*$M$46,0)</f>
        <v>41.819313111870002</v>
      </c>
      <c r="N51" s="196">
        <f>IF(N$49&gt;0,$E51/(1+(1/(($C51-1)*N$49/$D51)))*$G51/$F51*$N$46,0)</f>
        <v>4.0100711203163018</v>
      </c>
      <c r="O51" s="196">
        <f>IF(O$49&gt;0,$E51/(1+(1/(($C51-1)*O$49/$D51)))*$G51/$F51*$O$46,0)</f>
        <v>0.58801997871681466</v>
      </c>
      <c r="P51" s="2">
        <f>IF(P$49&gt;0,$E51/(1+(1/(($C51-1)*P$49/$D51)))*$G51/$F51*$P$46,0)</f>
        <v>0</v>
      </c>
      <c r="R51" s="602"/>
    </row>
    <row r="52" spans="1:18">
      <c r="A52" s="235"/>
      <c r="B52" s="25" t="s">
        <v>112</v>
      </c>
      <c r="C52" s="23"/>
      <c r="D52" s="225"/>
      <c r="E52" s="232"/>
      <c r="F52" s="236"/>
      <c r="G52" s="225"/>
      <c r="H52" s="225"/>
      <c r="I52" s="2"/>
      <c r="J52" s="2"/>
      <c r="K52" s="196"/>
      <c r="L52" s="196"/>
      <c r="M52" s="196"/>
      <c r="N52" s="196"/>
      <c r="O52" s="196"/>
      <c r="P52" s="2"/>
      <c r="R52" s="602"/>
    </row>
    <row r="53" spans="1:18" ht="15">
      <c r="A53" s="234"/>
      <c r="B53" s="22" t="s">
        <v>113</v>
      </c>
      <c r="C53" s="23">
        <f>Input!$D$13</f>
        <v>1.105</v>
      </c>
      <c r="D53" s="55">
        <v>10</v>
      </c>
      <c r="E53" s="231">
        <f>'HH comp &amp; Health'!$C$23</f>
        <v>395580</v>
      </c>
      <c r="F53" s="236">
        <f>'HH comp &amp; Health'!$C$37</f>
        <v>2790940</v>
      </c>
      <c r="G53" s="55">
        <f>Input!$D$53</f>
        <v>2</v>
      </c>
      <c r="H53" s="250">
        <f>Input!$I$13</f>
        <v>914488</v>
      </c>
      <c r="I53" s="2">
        <f>IF(I$49&gt;0,$E53/(1+(1/(($C53-1)*I$49/$D53)))*$G53/$F53,0)</f>
        <v>0</v>
      </c>
      <c r="J53" s="2">
        <f>IF(J$49&gt;0,$E53/(1+(1/(($C53-1)*J$49/$D53)))*$G53/$F53*$J$46,0)</f>
        <v>0</v>
      </c>
      <c r="K53" s="196">
        <f>IF(K$49&gt;0,$E53/(1+(1/(($C53-1)*K$49/$D53)))*$G53/$F53*$K$46,0)</f>
        <v>86.967487828485773</v>
      </c>
      <c r="L53" s="196">
        <f>IF(L$49&gt;0,$E53/(1+(1/(($C53-1)*L$49/$D53)))*$G53/$F53*$L$46,0)</f>
        <v>642.9932469201832</v>
      </c>
      <c r="M53" s="196">
        <f>IF(M$49&gt;0,$E53/(1+(1/(($C53-1)*M$49/$D53)))*$G53/$F53*$M$46,0)</f>
        <v>557.18706233726959</v>
      </c>
      <c r="N53" s="196">
        <f>IF(N$49&gt;0,$E53/(1+(1/(($C53-1)*N$49/$D53)))*$G53/$F53*$N$46,0)</f>
        <v>53.428896388505315</v>
      </c>
      <c r="O53" s="196">
        <f>IF(O$49&gt;0,$E53/(1+(1/(($C53-1)*O$49/$D53)))*$G53/$F53*$O$46,0)</f>
        <v>7.8345888575546487</v>
      </c>
      <c r="P53" s="2">
        <f>IF(P$49&gt;0,$E53/(1+(1/(($C53-1)*P$49/$D53)))*$G53/$F53*$P$46,0)</f>
        <v>0</v>
      </c>
      <c r="R53" s="602"/>
    </row>
    <row r="54" spans="1:18">
      <c r="A54" s="235"/>
      <c r="B54" s="18" t="s">
        <v>115</v>
      </c>
      <c r="C54" s="23"/>
      <c r="D54" s="225"/>
      <c r="E54" s="232"/>
      <c r="F54" s="225"/>
      <c r="G54" s="225"/>
      <c r="H54" s="225"/>
      <c r="I54" s="2"/>
      <c r="J54" s="2"/>
      <c r="K54" s="196"/>
      <c r="L54" s="196"/>
      <c r="M54" s="196"/>
      <c r="N54" s="196"/>
      <c r="O54" s="196"/>
      <c r="P54" s="2"/>
      <c r="R54" s="602"/>
    </row>
    <row r="55" spans="1:18" ht="15">
      <c r="A55" s="234"/>
      <c r="B55" s="22" t="s">
        <v>116</v>
      </c>
      <c r="C55" s="23">
        <f>Input!$D$15</f>
        <v>1.115</v>
      </c>
      <c r="D55" s="55">
        <v>10</v>
      </c>
      <c r="E55" s="231">
        <f>'HH comp &amp; Health'!$C$25</f>
        <v>57872</v>
      </c>
      <c r="F55" s="236">
        <f>'HH comp &amp; Health'!$C$35</f>
        <v>4714055</v>
      </c>
      <c r="G55" s="55">
        <f>SUM(Input!$D$53:$D$54)</f>
        <v>4</v>
      </c>
      <c r="H55" s="250">
        <f>Input!$I$15</f>
        <v>50902</v>
      </c>
      <c r="I55" s="2">
        <f>IF(I$49&gt;0,$E55/(1+(1/(($C55-1)*I$49/$D55)))*$G55/$F55,0)</f>
        <v>0</v>
      </c>
      <c r="J55" s="2">
        <f t="shared" ref="J55:J56" si="22">IF(J$49&gt;0,$E55/(1+(1/(($C55-1)*J$49/$D55)))*$G55/$F55*$J$46,0)</f>
        <v>0</v>
      </c>
      <c r="K55" s="196">
        <f t="shared" ref="K55:K56" si="23">IF(K$49&gt;0,$E55/(1+(1/(($C55-1)*K$49/$D55)))*$G55/$F55*$K$46,0)</f>
        <v>16.259283636376676</v>
      </c>
      <c r="L55" s="196">
        <f>IF(L$49&gt;0,$E55/(1+(1/(($C55-1)*L$49/$D55)))*$G55/$F55*$L$46,0)</f>
        <v>121.73325370471963</v>
      </c>
      <c r="M55" s="196">
        <f>IF(M$49&gt;0,$E55/(1+(1/(($C55-1)*M$49/$D55)))*$G55/$F55*$M$46,0)</f>
        <v>105.65976029122922</v>
      </c>
      <c r="N55" s="196">
        <f t="shared" ref="N55:N56" si="24">IF(N$49&gt;0,$E55/(1+(1/(($C55-1)*N$49/$D55)))*$G55/$F55*$N$46,0)</f>
        <v>10.131757836145269</v>
      </c>
      <c r="O55" s="196">
        <f t="shared" ref="O55:O56" si="25">IF(O$49&gt;0,$E55/(1+(1/(($C55-1)*O$49/$D55)))*$G55/$F55*$O$46,0)</f>
        <v>1.486179184929739</v>
      </c>
      <c r="P55" s="2">
        <f>IF(P$49&gt;0,$E55/(1+(1/(($C55-1)*P$49/$D55)))*$G55/$F55*$P$46,0)</f>
        <v>0</v>
      </c>
      <c r="R55" s="602"/>
    </row>
    <row r="56" spans="1:18" ht="15">
      <c r="A56" s="234"/>
      <c r="B56" s="22" t="s">
        <v>118</v>
      </c>
      <c r="C56" s="23">
        <f>Input!$D$16</f>
        <v>1.07</v>
      </c>
      <c r="D56" s="55">
        <v>10</v>
      </c>
      <c r="E56" s="231">
        <f>'HH comp &amp; Health'!$C$26</f>
        <v>70425</v>
      </c>
      <c r="F56" s="236">
        <f>'HH comp &amp; Health'!$C$35</f>
        <v>4714055</v>
      </c>
      <c r="G56" s="55">
        <f>SUM(Input!$D$53:$D$54)</f>
        <v>4</v>
      </c>
      <c r="H56" s="250">
        <f>Input!$I$16</f>
        <v>44075</v>
      </c>
      <c r="I56" s="2">
        <f>IF(I$49&gt;0,$E56/(1+(1/(($C56-1)*I$49/$D56)))*$G56/$F56,0)</f>
        <v>0</v>
      </c>
      <c r="J56" s="2">
        <f t="shared" si="22"/>
        <v>0</v>
      </c>
      <c r="K56" s="196">
        <f t="shared" si="23"/>
        <v>12.890140222435486</v>
      </c>
      <c r="L56" s="196">
        <f>IF(L$49&gt;0,$E56/(1+(1/(($C56-1)*L$49/$D56)))*$G56/$F56*$L$46,0)</f>
        <v>91.043563296681512</v>
      </c>
      <c r="M56" s="196">
        <f>IF(M$49&gt;0,$E56/(1+(1/(($C56-1)*M$49/$D56)))*$G56/$F56*$M$46,0)</f>
        <v>78.443846686257785</v>
      </c>
      <c r="N56" s="196">
        <f t="shared" si="24"/>
        <v>7.5220126959425286</v>
      </c>
      <c r="O56" s="196">
        <f t="shared" si="25"/>
        <v>1.1016940556246564</v>
      </c>
      <c r="P56" s="2">
        <f>IF(P$49&gt;0,$E56/(1+(1/(($C56-1)*P$49/$D56)))*$G56/$F56*$P$46,0)</f>
        <v>0</v>
      </c>
      <c r="R56" s="602"/>
    </row>
    <row r="57" spans="1:18" ht="15">
      <c r="A57" s="234"/>
      <c r="B57" s="97" t="s">
        <v>119</v>
      </c>
      <c r="C57" s="222">
        <f>Input!$D$17</f>
        <v>0.9</v>
      </c>
      <c r="D57" s="228">
        <v>10</v>
      </c>
      <c r="E57" s="217" t="s">
        <v>538</v>
      </c>
      <c r="F57" s="217">
        <f>'HH comp &amp; Health'!$C$35</f>
        <v>4714055</v>
      </c>
      <c r="G57" s="228">
        <f>SUM(Input!$D$53:$D$54)</f>
        <v>4</v>
      </c>
      <c r="H57" s="249">
        <f>Input!$I$17</f>
        <v>124</v>
      </c>
      <c r="I57" s="2">
        <f>IF(I$49&gt;0,$C$57*I$49/$D$57*$G$57,0)</f>
        <v>0</v>
      </c>
      <c r="J57" s="2">
        <f>IF(J$49&gt;0,$C$57*J$49/$D$57*$G$57*$J$46*$J$46,0)</f>
        <v>0</v>
      </c>
      <c r="K57" s="601">
        <f>IF(K$49&gt;0,$C$57*K$49/$D$57*$G$57*K46,0)</f>
        <v>12455.204274144122</v>
      </c>
      <c r="L57" s="601">
        <f>IF(L$49&gt;0,$C$57*L$49/$D$57*$G$57*$L$46,0)</f>
        <v>79551.263548319737</v>
      </c>
      <c r="M57" s="601">
        <f>IF(M$49&gt;0,$C$57*M$49/$D$57*$G$57*M46,0)</f>
        <v>67751.159455318964</v>
      </c>
      <c r="N57" s="601">
        <f>IF(N$49&gt;0,$C$57*N$49/$D$57*$G$57*$N$46,0)</f>
        <v>6496.6865231127786</v>
      </c>
      <c r="O57" s="601">
        <f>IF(O$49&gt;0,$C$57*O$49/$D$57*$G$57*O46,0)</f>
        <v>949.26850810389965</v>
      </c>
      <c r="P57" s="2">
        <f>IF(P$49&gt;0,$C$57*P$49/$D$57*$G$57*$P$46,0)</f>
        <v>0</v>
      </c>
      <c r="R57" s="602"/>
    </row>
    <row r="58" spans="1:18">
      <c r="A58" s="234"/>
      <c r="B58" s="11"/>
      <c r="C58" s="261"/>
      <c r="D58" s="177"/>
      <c r="E58" s="102"/>
      <c r="F58" s="262"/>
      <c r="G58" s="102"/>
      <c r="H58" s="262"/>
      <c r="I58" s="2"/>
      <c r="J58" s="2"/>
      <c r="K58" s="2"/>
      <c r="L58" s="2"/>
      <c r="M58" s="2"/>
      <c r="N58" s="2"/>
      <c r="O58" s="2"/>
      <c r="P58" s="2"/>
    </row>
    <row r="59" spans="1:18" ht="15">
      <c r="A59" s="234"/>
      <c r="B59" s="11"/>
      <c r="C59" s="261"/>
      <c r="D59" s="177"/>
      <c r="E59" s="102"/>
      <c r="F59" s="262"/>
      <c r="G59" s="450" t="s">
        <v>540</v>
      </c>
      <c r="H59" s="450"/>
      <c r="I59" s="451">
        <f>I51*$H51</f>
        <v>0</v>
      </c>
      <c r="J59" s="451">
        <f t="shared" ref="J59:P59" si="26">J51*$H51</f>
        <v>0</v>
      </c>
      <c r="K59" s="452">
        <f t="shared" si="26"/>
        <v>102424622.18646324</v>
      </c>
      <c r="L59" s="452">
        <f t="shared" si="26"/>
        <v>757275414.39544082</v>
      </c>
      <c r="M59" s="452">
        <f t="shared" si="26"/>
        <v>656218499.25837791</v>
      </c>
      <c r="N59" s="452">
        <f t="shared" si="26"/>
        <v>62925061.572721168</v>
      </c>
      <c r="O59" s="452">
        <f t="shared" si="26"/>
        <v>9227066.6171694268</v>
      </c>
      <c r="P59" s="451">
        <f t="shared" si="26"/>
        <v>0</v>
      </c>
    </row>
    <row r="60" spans="1:18" ht="15">
      <c r="A60" s="234"/>
      <c r="B60" s="11"/>
      <c r="C60" s="261"/>
      <c r="D60" s="177"/>
      <c r="E60" s="102"/>
      <c r="F60" s="262"/>
      <c r="G60" s="453" t="s">
        <v>541</v>
      </c>
      <c r="H60" s="453"/>
      <c r="I60" s="238">
        <f>I53*$H53</f>
        <v>0</v>
      </c>
      <c r="J60" s="238">
        <f t="shared" ref="J60:P60" si="27">J53*$H53</f>
        <v>0</v>
      </c>
      <c r="K60" s="454">
        <f t="shared" si="27"/>
        <v>79530724.009296298</v>
      </c>
      <c r="L60" s="454">
        <f t="shared" si="27"/>
        <v>588009608.38954449</v>
      </c>
      <c r="M60" s="454">
        <f t="shared" si="27"/>
        <v>509540882.262685</v>
      </c>
      <c r="N60" s="454">
        <f t="shared" si="27"/>
        <v>48860084.600531451</v>
      </c>
      <c r="O60" s="454">
        <f t="shared" si="27"/>
        <v>7164637.4951674351</v>
      </c>
      <c r="P60" s="238">
        <f t="shared" si="27"/>
        <v>0</v>
      </c>
    </row>
    <row r="61" spans="1:18" ht="15">
      <c r="A61" s="234"/>
      <c r="B61" s="11"/>
      <c r="C61" s="261"/>
      <c r="D61" s="177"/>
      <c r="E61" s="102"/>
      <c r="F61" s="262"/>
      <c r="G61" s="450" t="s">
        <v>542</v>
      </c>
      <c r="H61" s="453"/>
      <c r="I61" s="451">
        <f>I55*$H55+I56*$H56+I57*$H57</f>
        <v>0</v>
      </c>
      <c r="J61" s="451">
        <f t="shared" ref="J61:P61" si="28">J55*$H55+J56*$H56+J57*$H57</f>
        <v>0</v>
      </c>
      <c r="K61" s="452">
        <f t="shared" si="28"/>
        <v>2940208.3159565609</v>
      </c>
      <c r="L61" s="452">
        <f t="shared" si="28"/>
        <v>20073567.812370524</v>
      </c>
      <c r="M61" s="452">
        <f t="shared" si="28"/>
        <v>17236849.433500513</v>
      </c>
      <c r="N61" s="452">
        <f t="shared" si="28"/>
        <v>1652848.5758151179</v>
      </c>
      <c r="O61" s="452">
        <f t="shared" si="28"/>
        <v>241915.95337783388</v>
      </c>
      <c r="P61" s="451">
        <f t="shared" si="28"/>
        <v>0</v>
      </c>
    </row>
    <row r="62" spans="1:18" ht="15">
      <c r="A62" s="234"/>
      <c r="B62" s="11"/>
      <c r="C62" s="261"/>
      <c r="D62" s="177"/>
      <c r="E62" s="102"/>
      <c r="F62" s="262"/>
      <c r="G62" s="470" t="s">
        <v>543</v>
      </c>
      <c r="H62" s="470"/>
      <c r="I62" s="471">
        <f>I61+I59</f>
        <v>0</v>
      </c>
      <c r="J62" s="471">
        <f t="shared" ref="J62:P62" si="29">J61+J59</f>
        <v>0</v>
      </c>
      <c r="K62" s="472">
        <f t="shared" si="29"/>
        <v>105364830.5024198</v>
      </c>
      <c r="L62" s="472">
        <f t="shared" si="29"/>
        <v>777348982.20781136</v>
      </c>
      <c r="M62" s="472">
        <f t="shared" si="29"/>
        <v>673455348.69187844</v>
      </c>
      <c r="N62" s="472">
        <f t="shared" si="29"/>
        <v>64577910.148536287</v>
      </c>
      <c r="O62" s="472">
        <f t="shared" si="29"/>
        <v>9468982.5705472603</v>
      </c>
      <c r="P62" s="471">
        <f t="shared" si="29"/>
        <v>0</v>
      </c>
    </row>
    <row r="63" spans="1:18">
      <c r="A63" s="234"/>
      <c r="B63" s="11"/>
      <c r="C63" s="261"/>
      <c r="D63" s="177"/>
      <c r="E63" s="102"/>
      <c r="F63" s="262"/>
      <c r="G63" s="262"/>
      <c r="H63" s="262"/>
      <c r="I63" s="262"/>
      <c r="J63" s="262"/>
      <c r="K63" s="262"/>
      <c r="L63" s="262"/>
      <c r="M63" s="262"/>
      <c r="N63" s="262"/>
      <c r="O63" s="262"/>
      <c r="P63" s="262"/>
      <c r="Q63" s="262"/>
    </row>
    <row r="64" spans="1:18">
      <c r="A64" s="234"/>
      <c r="B64" s="446" t="s">
        <v>520</v>
      </c>
      <c r="C64" s="539"/>
      <c r="D64" s="540"/>
      <c r="E64" s="540"/>
      <c r="F64" s="540"/>
      <c r="G64" s="540"/>
      <c r="H64" s="548"/>
      <c r="I64" s="384"/>
      <c r="J64" s="600" t="s">
        <v>554</v>
      </c>
      <c r="K64" s="599" t="s">
        <v>521</v>
      </c>
      <c r="L64" s="599" t="s">
        <v>522</v>
      </c>
      <c r="M64" s="599" t="s">
        <v>523</v>
      </c>
      <c r="N64" s="599" t="s">
        <v>524</v>
      </c>
      <c r="O64" s="599" t="s">
        <v>525</v>
      </c>
      <c r="P64" s="384"/>
    </row>
    <row r="65" spans="1:18">
      <c r="A65" s="234"/>
      <c r="B65" s="477" t="s">
        <v>101</v>
      </c>
      <c r="C65" s="243" t="s">
        <v>526</v>
      </c>
      <c r="D65" s="14" t="s">
        <v>527</v>
      </c>
      <c r="E65" s="14" t="s">
        <v>528</v>
      </c>
      <c r="F65" s="14" t="s">
        <v>529</v>
      </c>
      <c r="G65" s="243" t="s">
        <v>530</v>
      </c>
      <c r="H65" s="243" t="s">
        <v>531</v>
      </c>
      <c r="I65" s="541" t="s">
        <v>64</v>
      </c>
      <c r="J65" s="541" t="s">
        <v>65</v>
      </c>
      <c r="K65" s="541" t="s">
        <v>532</v>
      </c>
      <c r="L65" s="541" t="s">
        <v>533</v>
      </c>
      <c r="M65" s="541" t="s">
        <v>534</v>
      </c>
      <c r="N65" s="541" t="s">
        <v>535</v>
      </c>
      <c r="O65" s="541" t="s">
        <v>536</v>
      </c>
      <c r="P65" s="541" t="s">
        <v>71</v>
      </c>
    </row>
    <row r="66" spans="1:18" ht="15.6">
      <c r="B66" s="245" t="s">
        <v>544</v>
      </c>
      <c r="C66" s="23"/>
      <c r="D66" s="227"/>
      <c r="E66" s="233"/>
      <c r="F66" s="227"/>
      <c r="G66" s="225"/>
      <c r="H66" s="225"/>
      <c r="I66" s="545">
        <f>Input!$D$41</f>
        <v>0</v>
      </c>
      <c r="J66" s="546">
        <f>Input!$D$42</f>
        <v>2.875</v>
      </c>
      <c r="K66" s="545">
        <f>Input!$D$43</f>
        <v>0</v>
      </c>
      <c r="L66" s="545">
        <f>Input!$D$44</f>
        <v>0</v>
      </c>
      <c r="M66" s="545">
        <f>Input!$D$45</f>
        <v>0</v>
      </c>
      <c r="N66" s="545">
        <f>Input!$D$46</f>
        <v>0</v>
      </c>
      <c r="O66" s="545">
        <f>Input!$D$47</f>
        <v>0</v>
      </c>
      <c r="P66" s="546">
        <f>Input!$D$48</f>
        <v>6.6210750762379211</v>
      </c>
    </row>
    <row r="67" spans="1:18">
      <c r="B67" s="94" t="s">
        <v>108</v>
      </c>
      <c r="C67" s="23"/>
      <c r="D67" s="225"/>
      <c r="E67" s="232"/>
      <c r="F67" s="225"/>
      <c r="G67" s="226"/>
      <c r="H67" s="226"/>
      <c r="I67" s="2"/>
      <c r="J67" s="2"/>
      <c r="K67" s="2"/>
      <c r="L67" s="2"/>
      <c r="M67" s="2"/>
      <c r="N67" s="2"/>
      <c r="O67" s="2"/>
      <c r="P67" s="2"/>
    </row>
    <row r="68" spans="1:18" ht="15">
      <c r="B68" s="95" t="s">
        <v>122</v>
      </c>
      <c r="C68" s="23">
        <f>Input!$D$20</f>
        <v>1.097</v>
      </c>
      <c r="D68" s="55">
        <v>10</v>
      </c>
      <c r="E68" s="231">
        <f>E51</f>
        <v>29690</v>
      </c>
      <c r="F68" s="237">
        <f>F51</f>
        <v>2790940</v>
      </c>
      <c r="G68" s="55">
        <f>G51</f>
        <v>2</v>
      </c>
      <c r="H68" s="250">
        <f>Input!$I$20</f>
        <v>15691757</v>
      </c>
      <c r="I68" s="2">
        <f>IF(I$66&gt;0,$E68/(1+(1/(($C68-1)*I$66/$D68)))*$G68/$F68,0)</f>
        <v>0</v>
      </c>
      <c r="J68" s="547">
        <f>IF(J$66&gt;0,$E68/(1+(1/(($C68-1)*J$66/$D68)))*$G68/$F68*$J$46,0)</f>
        <v>207.8622419272024</v>
      </c>
      <c r="K68" s="2">
        <f>IF(K$66&gt;0,$E68/(1+(1/(($C68-1)*K$66/$D68)))*$G68/$F68*$K$46,0)</f>
        <v>0</v>
      </c>
      <c r="L68" s="2">
        <f>IF(L$66&gt;0,$E68/(1+(1/(($C68-1)*L$66/$D68)))*$G68/$F68*$L$46,0)</f>
        <v>0</v>
      </c>
      <c r="M68" s="2">
        <f>IF(M$66&gt;0,$E68/(1+(1/(($C68-1)*M$66/$D68)))*$G68/$F68*$M$46,0)</f>
        <v>0</v>
      </c>
      <c r="N68" s="2">
        <f>IF(N$66&gt;0,$E68/(1+(1/(($C68-1)*N$66/$D68)))*$G68/$F68*$N$46,0)</f>
        <v>0</v>
      </c>
      <c r="O68" s="2">
        <f>IF(O$66&gt;0,$E68/(1+(1/(($C68-1)*O$66/$D68)))*$G68/$F68*$O$46,0)</f>
        <v>0</v>
      </c>
      <c r="P68" s="547">
        <f>IF(P$66&gt;0,$E68/(1+(1/(($C68-1)*P$66/$D68)))*$G68/$F68*$P$46,0)</f>
        <v>57.32359373065681</v>
      </c>
      <c r="R68" s="547"/>
    </row>
    <row r="69" spans="1:18">
      <c r="B69" s="96" t="s">
        <v>112</v>
      </c>
      <c r="C69" s="23"/>
      <c r="D69" s="225"/>
      <c r="E69" s="223"/>
      <c r="F69" s="225"/>
      <c r="G69" s="225"/>
      <c r="H69" s="225"/>
      <c r="I69" s="2"/>
      <c r="J69" s="547"/>
      <c r="K69" s="2"/>
      <c r="L69" s="2"/>
      <c r="M69" s="2"/>
      <c r="N69" s="2"/>
      <c r="O69" s="2"/>
      <c r="P69" s="547"/>
      <c r="R69" s="603"/>
    </row>
    <row r="70" spans="1:18" ht="15">
      <c r="B70" s="95" t="s">
        <v>123</v>
      </c>
      <c r="C70" s="23">
        <f>Input!$D$22</f>
        <v>1.097</v>
      </c>
      <c r="D70" s="55">
        <v>10</v>
      </c>
      <c r="E70" s="231">
        <f>E53</f>
        <v>395580</v>
      </c>
      <c r="F70" s="237">
        <f>F53</f>
        <v>2790940</v>
      </c>
      <c r="G70" s="55">
        <f>G53</f>
        <v>2</v>
      </c>
      <c r="H70" s="250">
        <f>Input!$I$22</f>
        <v>914488</v>
      </c>
      <c r="I70" s="2">
        <f>IF(I$66&gt;0,$E70/(1+(1/(($C70-1)*I$66/$D70)))*$G70/$F70,0)</f>
        <v>0</v>
      </c>
      <c r="J70" s="601">
        <f>IF(J$66&gt;0,$E70/(1+(1/(($C70-1)*J$66/$D70)))*$G70/$F70*$J$46,0)</f>
        <v>2769.4895810563394</v>
      </c>
      <c r="K70" s="2">
        <f>IF(K$66&gt;0,$E70/(1+(1/(($C70-1)*K$66/$D70)))*$G70/$F70*$K$46,0)</f>
        <v>0</v>
      </c>
      <c r="L70" s="2">
        <f>IF(L$66&gt;0,$E70/(1+(1/(($C70-1)*L$66/$D70)))*$G70/$F70*$L$46,0)</f>
        <v>0</v>
      </c>
      <c r="M70" s="2">
        <f>IF(M$66&gt;0,$E70/(1+(1/(($C70-1)*M$66/$D70)))*$G70/$F70*$M$46,0)</f>
        <v>0</v>
      </c>
      <c r="N70" s="2">
        <f>IF(N$66&gt;0,$E70/(1+(1/(($C70-1)*N$66/$D70)))*$G70/$F70*$N$46,0)</f>
        <v>0</v>
      </c>
      <c r="O70" s="2">
        <f>IF(O$66&gt;0,$E70/(1+(1/(($C70-1)*O$66/$D70)))*$G70/$F70*$O$46,0)</f>
        <v>0</v>
      </c>
      <c r="P70" s="547">
        <f>IF(P$66&gt;0,$E70/(1+(1/(($C70-1)*P$66/$D70)))*$G70/$F70*$P$46,0)</f>
        <v>763.76110501762287</v>
      </c>
      <c r="R70" s="547"/>
    </row>
    <row r="71" spans="1:18">
      <c r="B71" s="94" t="s">
        <v>115</v>
      </c>
      <c r="C71" s="23"/>
      <c r="D71" s="225"/>
      <c r="E71" s="223"/>
      <c r="F71" s="225"/>
      <c r="G71" s="225"/>
      <c r="H71" s="225"/>
      <c r="I71" s="2"/>
      <c r="J71" s="547"/>
      <c r="K71" s="2"/>
      <c r="L71" s="2"/>
      <c r="M71" s="2"/>
      <c r="N71" s="2"/>
      <c r="O71" s="2"/>
      <c r="P71" s="547"/>
      <c r="R71" s="603"/>
    </row>
    <row r="72" spans="1:18" ht="15">
      <c r="B72" s="95" t="s">
        <v>125</v>
      </c>
      <c r="C72" s="23">
        <f>Input!$D$24</f>
        <v>1.0469999999999999</v>
      </c>
      <c r="D72" s="55">
        <v>10</v>
      </c>
      <c r="E72" s="231">
        <f t="shared" ref="E72:G73" si="30">E55</f>
        <v>57872</v>
      </c>
      <c r="F72" s="237">
        <f t="shared" si="30"/>
        <v>4714055</v>
      </c>
      <c r="G72" s="55">
        <f t="shared" si="30"/>
        <v>4</v>
      </c>
      <c r="H72" s="250">
        <f>Input!$I$24</f>
        <v>50902</v>
      </c>
      <c r="I72" s="2">
        <f>IF(I$66&gt;0,$E72/(1+(1/(($C72-1)*I$66/$D72)))*$G72/$F72,0)</f>
        <v>0</v>
      </c>
      <c r="J72" s="547">
        <f t="shared" ref="J72:J75" si="31">IF(J$66&gt;0,$E72/(1+(1/(($C72-1)*J$66/$D72)))*$G72/$F72*$J$46,0)</f>
        <v>235.75578072983942</v>
      </c>
      <c r="K72" s="2">
        <f t="shared" ref="K72:K75" si="32">IF(K$66&gt;0,$E72/(1+(1/(($C72-1)*K$66/$D72)))*$G72/$F72*$K$46,0)</f>
        <v>0</v>
      </c>
      <c r="L72" s="2">
        <f t="shared" ref="L72:L75" si="33">IF(L$66&gt;0,$E72/(1+(1/(($C72-1)*L$66/$D72)))*$G72/$F72*$L$46,0)</f>
        <v>0</v>
      </c>
      <c r="M72" s="2">
        <f t="shared" ref="M72:M75" si="34">IF(M$66&gt;0,$E72/(1+(1/(($C72-1)*M$66/$D72)))*$G72/$F72*$M$46,0)</f>
        <v>0</v>
      </c>
      <c r="N72" s="2">
        <f t="shared" ref="N72:N75" si="35">IF(N$66&gt;0,$E72/(1+(1/(($C72-1)*N$66/$D72)))*$G72/$F72*$N$46,0)</f>
        <v>0</v>
      </c>
      <c r="O72" s="2">
        <f t="shared" ref="O72:O75" si="36">IF(O$66&gt;0,$E72/(1+(1/(($C72-1)*O$66/$D72)))*$G72/$F72*$O$46,0)</f>
        <v>0</v>
      </c>
      <c r="P72" s="547">
        <f t="shared" ref="P72:P75" si="37">IF(P$66&gt;0,$E72/(1+(1/(($C72-1)*P$66/$D72)))*$G72/$F72*$P$46,0)</f>
        <v>66.16496530623931</v>
      </c>
      <c r="R72" s="547"/>
    </row>
    <row r="73" spans="1:18" ht="15">
      <c r="B73" s="95" t="s">
        <v>126</v>
      </c>
      <c r="C73" s="23">
        <f>Input!$D$25</f>
        <v>1.1299999999999999</v>
      </c>
      <c r="D73" s="55">
        <v>10</v>
      </c>
      <c r="E73" s="231">
        <f t="shared" si="30"/>
        <v>70425</v>
      </c>
      <c r="F73" s="237">
        <f t="shared" si="30"/>
        <v>4714055</v>
      </c>
      <c r="G73" s="55">
        <f t="shared" si="30"/>
        <v>4</v>
      </c>
      <c r="H73" s="250">
        <f>Input!$I$25</f>
        <v>44075</v>
      </c>
      <c r="I73" s="2">
        <f>IF(I$66&gt;0,$E73/(1+(1/(($C73-1)*I$66/$D73)))*$G73/$F73,0)</f>
        <v>0</v>
      </c>
      <c r="J73" s="547">
        <f t="shared" si="31"/>
        <v>775.28171420272565</v>
      </c>
      <c r="K73" s="2">
        <f t="shared" si="32"/>
        <v>0</v>
      </c>
      <c r="L73" s="2">
        <f t="shared" si="33"/>
        <v>0</v>
      </c>
      <c r="M73" s="2">
        <f t="shared" si="34"/>
        <v>0</v>
      </c>
      <c r="N73" s="2">
        <f t="shared" si="35"/>
        <v>0</v>
      </c>
      <c r="O73" s="2">
        <f t="shared" si="36"/>
        <v>0</v>
      </c>
      <c r="P73" s="547">
        <f t="shared" si="37"/>
        <v>211.43717716487245</v>
      </c>
      <c r="R73" s="547"/>
    </row>
    <row r="74" spans="1:18" ht="15">
      <c r="A74" s="234"/>
      <c r="B74" s="22" t="s">
        <v>211</v>
      </c>
      <c r="C74" s="23">
        <f>Input!$D$26</f>
        <v>1.1819999999999999</v>
      </c>
      <c r="D74" s="55">
        <v>10</v>
      </c>
      <c r="E74" s="231">
        <f>'HH comp &amp; Health'!$C$27</f>
        <v>6485</v>
      </c>
      <c r="F74" s="237">
        <f>'HH comp &amp; Health'!$C$38</f>
        <v>1177070</v>
      </c>
      <c r="G74" s="55">
        <f>Input!$D$54</f>
        <v>2</v>
      </c>
      <c r="H74" s="250">
        <f>Input!$I$26</f>
        <v>2529</v>
      </c>
      <c r="I74" s="2">
        <f>IF(I$66&gt;0,$E74/(1+(1/(($C74-1)*I$66/$D74)))*$G74/$F74,0)</f>
        <v>0</v>
      </c>
      <c r="J74" s="547">
        <f t="shared" si="31"/>
        <v>197.29630393115855</v>
      </c>
      <c r="K74" s="2">
        <f t="shared" si="32"/>
        <v>0</v>
      </c>
      <c r="L74" s="2">
        <f t="shared" si="33"/>
        <v>0</v>
      </c>
      <c r="M74" s="2">
        <f t="shared" si="34"/>
        <v>0</v>
      </c>
      <c r="N74" s="2">
        <f t="shared" si="35"/>
        <v>0</v>
      </c>
      <c r="O74" s="2">
        <f t="shared" si="36"/>
        <v>0</v>
      </c>
      <c r="P74" s="547">
        <f t="shared" si="37"/>
        <v>52.905525846850338</v>
      </c>
      <c r="R74" s="547"/>
    </row>
    <row r="75" spans="1:18" ht="15">
      <c r="A75" s="234"/>
      <c r="B75" s="97" t="s">
        <v>129</v>
      </c>
      <c r="C75" s="222">
        <f>Input!$D$27</f>
        <v>1.05</v>
      </c>
      <c r="D75" s="228">
        <v>4</v>
      </c>
      <c r="E75" s="217">
        <f>'HH comp &amp; Health'!$C$29</f>
        <v>152169</v>
      </c>
      <c r="F75" s="217">
        <f>'HH comp &amp; Health'!$C$38</f>
        <v>1177070</v>
      </c>
      <c r="G75" s="228">
        <f>Input!$D$54</f>
        <v>2</v>
      </c>
      <c r="H75" s="249">
        <f>Input!$I$27</f>
        <v>178</v>
      </c>
      <c r="I75" s="2">
        <f>IF(I$66&gt;0,$E75/(1+(1/(($C75-1)*I$66/$D75)))*$G75/$F75,0)</f>
        <v>0</v>
      </c>
      <c r="J75" s="601">
        <f t="shared" si="31"/>
        <v>3229.9077179484775</v>
      </c>
      <c r="K75" s="2">
        <f t="shared" si="32"/>
        <v>0</v>
      </c>
      <c r="L75" s="2">
        <f t="shared" si="33"/>
        <v>0</v>
      </c>
      <c r="M75" s="2">
        <f t="shared" si="34"/>
        <v>0</v>
      </c>
      <c r="N75" s="2">
        <f t="shared" si="35"/>
        <v>0</v>
      </c>
      <c r="O75" s="2">
        <f t="shared" si="36"/>
        <v>0</v>
      </c>
      <c r="P75" s="547">
        <f t="shared" si="37"/>
        <v>882.33910437282123</v>
      </c>
      <c r="R75" s="547"/>
    </row>
    <row r="77" spans="1:18" ht="15">
      <c r="F77" s="458" t="s">
        <v>545</v>
      </c>
      <c r="G77" s="257" t="s">
        <v>546</v>
      </c>
      <c r="H77" s="459"/>
      <c r="I77" s="451">
        <f>I68*$H68</f>
        <v>0</v>
      </c>
      <c r="J77" s="460">
        <f t="shared" ref="J77:P77" si="38">J68*$H68</f>
        <v>3261723789.7968717</v>
      </c>
      <c r="K77" s="461">
        <f t="shared" si="38"/>
        <v>0</v>
      </c>
      <c r="L77" s="461">
        <f t="shared" si="38"/>
        <v>0</v>
      </c>
      <c r="M77" s="461">
        <f t="shared" si="38"/>
        <v>0</v>
      </c>
      <c r="N77" s="461">
        <f t="shared" si="38"/>
        <v>0</v>
      </c>
      <c r="O77" s="461">
        <f t="shared" si="38"/>
        <v>0</v>
      </c>
      <c r="P77" s="460">
        <f t="shared" si="38"/>
        <v>899507903.1881901</v>
      </c>
    </row>
    <row r="78" spans="1:18" ht="15">
      <c r="G78" s="462" t="s">
        <v>547</v>
      </c>
      <c r="H78" s="463"/>
      <c r="I78" s="238">
        <f>I70*$H70+I72*$H72+I73*$H73+I75*$H75</f>
        <v>0</v>
      </c>
      <c r="J78" s="464">
        <f t="shared" ref="J78:P78" si="39">J70*$H70+J72*$H72+J73*$H73+J75*$H75</f>
        <v>2579410893.8790398</v>
      </c>
      <c r="K78" s="465">
        <f t="shared" si="39"/>
        <v>0</v>
      </c>
      <c r="L78" s="465">
        <f t="shared" si="39"/>
        <v>0</v>
      </c>
      <c r="M78" s="465">
        <f t="shared" si="39"/>
        <v>0</v>
      </c>
      <c r="N78" s="465">
        <f t="shared" si="39"/>
        <v>0</v>
      </c>
      <c r="O78" s="465">
        <f t="shared" si="39"/>
        <v>0</v>
      </c>
      <c r="P78" s="464">
        <f t="shared" si="39"/>
        <v>711294444.41349435</v>
      </c>
    </row>
    <row r="79" spans="1:18" ht="15">
      <c r="G79" s="257" t="s">
        <v>548</v>
      </c>
      <c r="H79" s="262"/>
      <c r="I79" s="451">
        <f>I72*$H72+I73*$H73+I75*$H75</f>
        <v>0</v>
      </c>
      <c r="J79" s="460">
        <f t="shared" ref="J79:P79" si="40">J72*$H72+J73*$H73+J75*$H75</f>
        <v>46745905.877990246</v>
      </c>
      <c r="K79" s="461">
        <f t="shared" si="40"/>
        <v>0</v>
      </c>
      <c r="L79" s="461">
        <f t="shared" si="40"/>
        <v>0</v>
      </c>
      <c r="M79" s="461">
        <f t="shared" si="40"/>
        <v>0</v>
      </c>
      <c r="N79" s="461">
        <f t="shared" si="40"/>
        <v>0</v>
      </c>
      <c r="O79" s="461">
        <f t="shared" si="40"/>
        <v>0</v>
      </c>
      <c r="P79" s="460">
        <f t="shared" si="40"/>
        <v>12844079.008138308</v>
      </c>
    </row>
    <row r="80" spans="1:18" ht="15">
      <c r="G80" s="473" t="s">
        <v>549</v>
      </c>
      <c r="H80" s="474"/>
      <c r="I80" s="471">
        <f>I79+I77</f>
        <v>0</v>
      </c>
      <c r="J80" s="475">
        <f t="shared" ref="J80:P80" si="41">J79+J77</f>
        <v>3308469695.6748619</v>
      </c>
      <c r="K80" s="476">
        <f t="shared" si="41"/>
        <v>0</v>
      </c>
      <c r="L80" s="476">
        <f t="shared" si="41"/>
        <v>0</v>
      </c>
      <c r="M80" s="476">
        <f t="shared" si="41"/>
        <v>0</v>
      </c>
      <c r="N80" s="476">
        <f t="shared" si="41"/>
        <v>0</v>
      </c>
      <c r="O80" s="476">
        <f t="shared" si="41"/>
        <v>0</v>
      </c>
      <c r="P80" s="475">
        <f t="shared" si="41"/>
        <v>912351982.1963284</v>
      </c>
    </row>
  </sheetData>
  <dataValidations disablePrompts="1" count="1">
    <dataValidation type="decimal" operator="equal" allowBlank="1" showInputMessage="1" showErrorMessage="1" errorTitle="default value" error="the default value cannot be changed" promptTitle="default" sqref="C13:C16 C28:C29 C51:C54 C66:C67" xr:uid="{C8260BAC-FF39-460A-A699-7797A93380F0}">
      <formula1>1.105</formula1>
    </dataValidation>
  </dataValidations>
  <hyperlinks>
    <hyperlink ref="A4" location="Contents!A1" display="Back to Contents" xr:uid="{1D2871B9-9805-4C02-AB69-39E2C45197B8}"/>
  </hyperlink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4A81-37FC-4C17-B2FB-3BA654FB8E98}">
  <sheetPr>
    <tabColor theme="5"/>
    <pageSetUpPr fitToPage="1"/>
  </sheetPr>
  <dimension ref="A1:P74"/>
  <sheetViews>
    <sheetView zoomScale="85" zoomScaleNormal="85" workbookViewId="0">
      <selection activeCell="C23" sqref="C23"/>
    </sheetView>
  </sheetViews>
  <sheetFormatPr defaultRowHeight="14.45"/>
  <cols>
    <col min="1" max="1" width="13.5703125" bestFit="1" customWidth="1"/>
    <col min="2" max="2" width="20.42578125" customWidth="1"/>
    <col min="3" max="3" width="72.42578125" customWidth="1"/>
    <col min="4" max="6" width="14.5703125" customWidth="1"/>
    <col min="7" max="7" width="16.42578125" customWidth="1"/>
    <col min="8" max="15" width="14.5703125" customWidth="1"/>
  </cols>
  <sheetData>
    <row r="1" spans="1:15" ht="18.600000000000001">
      <c r="A1" s="168" t="s">
        <v>556</v>
      </c>
      <c r="B1" s="170"/>
      <c r="C1" s="170"/>
      <c r="D1" s="170"/>
      <c r="E1" s="170"/>
      <c r="F1" s="170"/>
      <c r="G1" s="170"/>
      <c r="H1" s="170"/>
      <c r="I1" s="170"/>
      <c r="J1" s="170"/>
      <c r="K1" s="170"/>
      <c r="L1" s="170"/>
      <c r="M1" s="170"/>
      <c r="N1" s="170"/>
      <c r="O1" s="170"/>
    </row>
    <row r="2" spans="1:15" ht="15">
      <c r="A2" s="2" t="s">
        <v>557</v>
      </c>
      <c r="B2" s="9"/>
      <c r="C2" s="9"/>
      <c r="D2" s="9"/>
      <c r="E2" s="9"/>
      <c r="F2" s="9"/>
      <c r="G2" s="9"/>
      <c r="H2" s="9"/>
      <c r="I2" s="9"/>
      <c r="J2" s="9"/>
      <c r="K2" s="9"/>
      <c r="L2" s="9"/>
      <c r="M2" s="9"/>
      <c r="N2" s="9"/>
      <c r="O2" s="9"/>
    </row>
    <row r="3" spans="1:15">
      <c r="A3" s="437" t="s">
        <v>558</v>
      </c>
      <c r="B3" s="9"/>
      <c r="C3" s="9"/>
      <c r="D3" s="9"/>
      <c r="E3" s="9"/>
      <c r="F3" s="9"/>
      <c r="G3" s="9"/>
      <c r="H3" s="9"/>
      <c r="I3" s="9"/>
      <c r="J3" s="9"/>
      <c r="K3" s="9"/>
      <c r="L3" s="9"/>
      <c r="M3" s="9"/>
      <c r="N3" s="9"/>
      <c r="O3" s="9"/>
    </row>
    <row r="4" spans="1:15">
      <c r="A4" s="380" t="s">
        <v>59</v>
      </c>
      <c r="B4" s="9"/>
      <c r="C4" s="9"/>
      <c r="D4" s="9"/>
      <c r="E4" s="9"/>
      <c r="F4" s="9"/>
      <c r="G4" s="9"/>
      <c r="H4" s="9"/>
      <c r="I4" s="9"/>
      <c r="J4" s="9"/>
      <c r="K4" s="9"/>
      <c r="L4" s="9"/>
      <c r="M4" s="9"/>
      <c r="N4" s="9"/>
      <c r="O4" s="9"/>
    </row>
    <row r="5" spans="1:15">
      <c r="A5" s="38"/>
      <c r="B5" s="9"/>
      <c r="C5" s="9"/>
      <c r="D5" s="9"/>
      <c r="E5" s="9"/>
      <c r="F5" s="9"/>
      <c r="G5" s="9"/>
      <c r="H5" s="9"/>
      <c r="I5" s="9"/>
      <c r="J5" s="9"/>
      <c r="K5" s="9"/>
      <c r="L5" s="9"/>
      <c r="M5" s="9"/>
      <c r="N5" s="9"/>
      <c r="O5" s="9"/>
    </row>
    <row r="6" spans="1:15">
      <c r="A6" s="38"/>
      <c r="B6" s="9"/>
      <c r="C6" s="9"/>
      <c r="D6" s="9"/>
      <c r="E6" s="9"/>
      <c r="F6" s="9"/>
      <c r="G6" s="9"/>
      <c r="H6" s="9"/>
      <c r="I6" s="9"/>
      <c r="J6" s="9"/>
      <c r="K6" s="9"/>
      <c r="L6" s="9"/>
      <c r="M6" s="9"/>
      <c r="N6" s="9"/>
      <c r="O6" s="9"/>
    </row>
    <row r="7" spans="1:15" ht="18.600000000000001">
      <c r="A7" s="184" t="s">
        <v>559</v>
      </c>
      <c r="B7" s="9"/>
      <c r="C7" s="9"/>
      <c r="D7" s="9"/>
      <c r="E7" s="9"/>
      <c r="F7" s="9"/>
      <c r="G7" s="9"/>
      <c r="H7" s="9"/>
      <c r="I7" s="9"/>
      <c r="J7" s="9"/>
      <c r="K7" s="9"/>
      <c r="L7" s="9"/>
      <c r="M7" s="9"/>
      <c r="N7" s="9"/>
      <c r="O7" s="9"/>
    </row>
    <row r="8" spans="1:15">
      <c r="A8" s="2" t="s">
        <v>560</v>
      </c>
      <c r="B8" s="9"/>
      <c r="C8" s="9"/>
      <c r="D8" s="9"/>
      <c r="E8" s="9"/>
      <c r="F8" s="9"/>
      <c r="G8" s="9"/>
      <c r="H8" s="9"/>
      <c r="I8" s="9"/>
      <c r="J8" s="9"/>
      <c r="K8" s="9"/>
      <c r="L8" s="9"/>
      <c r="M8" s="9"/>
      <c r="N8" s="9"/>
      <c r="O8" s="9"/>
    </row>
    <row r="9" spans="1:15">
      <c r="B9" s="9"/>
      <c r="C9" s="9"/>
      <c r="D9" s="9"/>
      <c r="E9" s="9"/>
      <c r="F9" s="9"/>
      <c r="G9" s="9"/>
      <c r="H9" s="9"/>
      <c r="I9" s="9"/>
      <c r="J9" s="9"/>
      <c r="K9" s="9"/>
      <c r="L9" s="9"/>
      <c r="M9" s="9"/>
      <c r="N9" s="9"/>
      <c r="O9" s="9"/>
    </row>
    <row r="10" spans="1:15" ht="15.6">
      <c r="A10" s="169" t="s">
        <v>561</v>
      </c>
      <c r="B10" s="9"/>
      <c r="C10" s="9"/>
      <c r="D10" s="9"/>
      <c r="E10" s="9"/>
      <c r="F10" s="9"/>
      <c r="G10" s="178" t="s">
        <v>562</v>
      </c>
      <c r="H10" s="9"/>
      <c r="I10" s="9"/>
      <c r="J10" s="9"/>
      <c r="K10" s="9"/>
      <c r="L10" s="9"/>
      <c r="M10" s="9"/>
      <c r="N10" s="9"/>
      <c r="O10" s="9"/>
    </row>
    <row r="11" spans="1:15" ht="15">
      <c r="A11" s="551" t="s">
        <v>563</v>
      </c>
      <c r="B11" s="551" t="s">
        <v>564</v>
      </c>
      <c r="C11" s="551" t="s">
        <v>565</v>
      </c>
      <c r="D11" s="551" t="s">
        <v>566</v>
      </c>
      <c r="E11" s="551" t="s">
        <v>567</v>
      </c>
      <c r="F11" s="550" t="s">
        <v>568</v>
      </c>
      <c r="G11" s="549" t="s">
        <v>569</v>
      </c>
      <c r="H11" s="550" t="s">
        <v>570</v>
      </c>
      <c r="I11" s="550" t="s">
        <v>571</v>
      </c>
      <c r="J11" s="550" t="s">
        <v>572</v>
      </c>
      <c r="K11" s="550" t="s">
        <v>573</v>
      </c>
      <c r="L11" s="550" t="s">
        <v>574</v>
      </c>
      <c r="M11" s="550" t="s">
        <v>575</v>
      </c>
      <c r="N11" s="550" t="s">
        <v>576</v>
      </c>
      <c r="O11" s="550" t="s">
        <v>577</v>
      </c>
    </row>
    <row r="12" spans="1:15">
      <c r="A12" s="626">
        <v>1</v>
      </c>
      <c r="B12" s="479" t="s">
        <v>578</v>
      </c>
      <c r="C12" s="479" t="s">
        <v>579</v>
      </c>
      <c r="D12" s="479" t="s">
        <v>580</v>
      </c>
      <c r="E12" s="479" t="s">
        <v>578</v>
      </c>
      <c r="F12" s="480"/>
      <c r="G12" s="2"/>
      <c r="H12" s="480"/>
      <c r="I12" s="480"/>
      <c r="J12" s="482">
        <v>5.0999999999999996</v>
      </c>
      <c r="K12" s="483">
        <v>1991</v>
      </c>
      <c r="L12" s="482">
        <v>0.20599999999999999</v>
      </c>
      <c r="M12" s="482">
        <v>15</v>
      </c>
      <c r="N12" s="482">
        <v>3.0800000000000001E-2</v>
      </c>
      <c r="O12" s="482">
        <v>1.17</v>
      </c>
    </row>
    <row r="13" spans="1:15" ht="26.45" thickBot="1">
      <c r="A13" s="626">
        <v>2</v>
      </c>
      <c r="B13" s="479" t="s">
        <v>581</v>
      </c>
      <c r="C13" s="479" t="s">
        <v>582</v>
      </c>
      <c r="D13" s="479" t="s">
        <v>583</v>
      </c>
      <c r="E13" s="479" t="s">
        <v>584</v>
      </c>
      <c r="F13" s="480"/>
      <c r="G13" s="574" t="s">
        <v>585</v>
      </c>
      <c r="H13" s="480"/>
      <c r="I13" s="480"/>
      <c r="J13" s="482">
        <v>0.2</v>
      </c>
      <c r="K13" s="483">
        <v>862</v>
      </c>
      <c r="L13" s="482">
        <v>1.9259999999999999</v>
      </c>
      <c r="M13" s="482">
        <v>39</v>
      </c>
      <c r="N13" s="482">
        <v>2.8899999999999999E-2</v>
      </c>
      <c r="O13" s="482">
        <v>1.29</v>
      </c>
    </row>
    <row r="14" spans="1:15">
      <c r="A14" s="627">
        <v>3</v>
      </c>
      <c r="B14" s="436" t="s">
        <v>586</v>
      </c>
      <c r="C14" s="436" t="s">
        <v>587</v>
      </c>
      <c r="D14" s="436" t="s">
        <v>588</v>
      </c>
      <c r="E14" s="436" t="s">
        <v>584</v>
      </c>
      <c r="F14" s="481">
        <v>5.5</v>
      </c>
      <c r="G14" s="575">
        <v>5.335</v>
      </c>
      <c r="H14" s="484">
        <v>55</v>
      </c>
      <c r="I14" s="482">
        <v>0.5</v>
      </c>
      <c r="J14" s="482">
        <v>0.2</v>
      </c>
      <c r="K14" s="483">
        <v>862</v>
      </c>
      <c r="L14" s="482">
        <v>1.9259999999999999</v>
      </c>
      <c r="M14" s="482">
        <v>15</v>
      </c>
      <c r="N14" s="482">
        <v>2.8899999999999999E-2</v>
      </c>
      <c r="O14" s="482">
        <v>1.29</v>
      </c>
    </row>
    <row r="15" spans="1:15">
      <c r="A15" s="627">
        <v>4</v>
      </c>
      <c r="B15" s="436" t="s">
        <v>589</v>
      </c>
      <c r="C15" s="436" t="s">
        <v>590</v>
      </c>
      <c r="D15" s="436" t="s">
        <v>591</v>
      </c>
      <c r="E15" s="436" t="s">
        <v>584</v>
      </c>
      <c r="F15" s="481">
        <v>4</v>
      </c>
      <c r="G15" s="576">
        <v>3.88</v>
      </c>
      <c r="H15" s="484">
        <v>40</v>
      </c>
      <c r="I15" s="482">
        <v>0.5</v>
      </c>
      <c r="J15" s="482">
        <v>0.2</v>
      </c>
      <c r="K15" s="483">
        <v>862</v>
      </c>
      <c r="L15" s="482">
        <v>1.9259999999999999</v>
      </c>
      <c r="M15" s="482">
        <v>15</v>
      </c>
      <c r="N15" s="482">
        <v>2.8899999999999999E-2</v>
      </c>
      <c r="O15" s="482">
        <v>1.29</v>
      </c>
    </row>
    <row r="16" spans="1:15">
      <c r="A16" s="627">
        <v>5</v>
      </c>
      <c r="B16" s="436" t="s">
        <v>592</v>
      </c>
      <c r="C16" s="436" t="s">
        <v>593</v>
      </c>
      <c r="D16" s="436" t="s">
        <v>594</v>
      </c>
      <c r="E16" s="436" t="s">
        <v>584</v>
      </c>
      <c r="F16" s="481">
        <v>1</v>
      </c>
      <c r="G16" s="576">
        <v>1</v>
      </c>
      <c r="H16" s="484">
        <v>10.3092783505155</v>
      </c>
      <c r="I16" s="482">
        <v>0.5</v>
      </c>
      <c r="J16" s="482">
        <v>0.2</v>
      </c>
      <c r="K16" s="483">
        <v>862</v>
      </c>
      <c r="L16" s="482">
        <v>1.9259999999999999</v>
      </c>
      <c r="M16" s="482">
        <v>15</v>
      </c>
      <c r="N16" s="482">
        <v>2.8899999999999999E-2</v>
      </c>
      <c r="O16" s="482">
        <v>1.29</v>
      </c>
    </row>
    <row r="17" spans="1:15">
      <c r="A17" s="627">
        <v>6</v>
      </c>
      <c r="B17" s="436" t="s">
        <v>525</v>
      </c>
      <c r="C17" s="436" t="s">
        <v>595</v>
      </c>
      <c r="D17" s="436" t="s">
        <v>596</v>
      </c>
      <c r="E17" s="436" t="s">
        <v>525</v>
      </c>
      <c r="F17" s="481">
        <v>1.4</v>
      </c>
      <c r="G17" s="576">
        <v>1.4</v>
      </c>
      <c r="H17" s="484">
        <v>7.4</v>
      </c>
      <c r="I17" s="482">
        <v>1.8</v>
      </c>
      <c r="J17" s="482">
        <v>0.2</v>
      </c>
      <c r="K17" s="483">
        <v>862</v>
      </c>
      <c r="L17" s="482">
        <v>1.9259999999999999</v>
      </c>
      <c r="M17" s="482">
        <v>15</v>
      </c>
      <c r="N17" s="482">
        <v>2.8899999999999999E-2</v>
      </c>
      <c r="O17" s="482">
        <v>1.29</v>
      </c>
    </row>
    <row r="18" spans="1:15" ht="15" thickBot="1">
      <c r="A18" s="627">
        <v>7</v>
      </c>
      <c r="B18" s="436" t="s">
        <v>597</v>
      </c>
      <c r="C18" s="436" t="s">
        <v>598</v>
      </c>
      <c r="D18" s="436" t="s">
        <v>599</v>
      </c>
      <c r="E18" s="436" t="s">
        <v>525</v>
      </c>
      <c r="F18" s="481">
        <v>1.4</v>
      </c>
      <c r="G18" s="577">
        <v>1.4</v>
      </c>
      <c r="H18" s="484">
        <v>7.4</v>
      </c>
      <c r="I18" s="482">
        <v>1.8</v>
      </c>
      <c r="J18" s="482">
        <v>0.2</v>
      </c>
      <c r="K18" s="483">
        <v>862</v>
      </c>
      <c r="L18" s="482">
        <v>1.9259999999999999</v>
      </c>
      <c r="M18" s="482">
        <v>15</v>
      </c>
      <c r="N18" s="482">
        <v>2.8899999999999999E-2</v>
      </c>
      <c r="O18" s="482">
        <v>1.29</v>
      </c>
    </row>
    <row r="19" spans="1:15">
      <c r="A19" s="155"/>
      <c r="B19" s="156"/>
      <c r="C19" s="156"/>
      <c r="D19" s="156"/>
      <c r="E19" s="156"/>
      <c r="F19" s="157"/>
      <c r="G19" s="157"/>
      <c r="H19" s="157"/>
      <c r="I19" s="157"/>
      <c r="J19" s="157"/>
      <c r="K19" s="158"/>
      <c r="L19" s="157"/>
      <c r="M19" s="157"/>
      <c r="N19" s="157"/>
      <c r="O19" s="157"/>
    </row>
    <row r="20" spans="1:15">
      <c r="B20" s="156"/>
      <c r="C20" s="156"/>
      <c r="D20" s="156"/>
      <c r="E20" s="156"/>
      <c r="F20" s="157"/>
      <c r="G20" s="157"/>
      <c r="H20" s="157"/>
      <c r="I20" s="157"/>
      <c r="J20" s="157"/>
      <c r="K20" s="158"/>
      <c r="L20" s="157"/>
      <c r="M20" s="157"/>
      <c r="N20" s="157"/>
      <c r="O20" s="157"/>
    </row>
    <row r="21" spans="1:15" ht="15.6">
      <c r="A21" s="169" t="s">
        <v>600</v>
      </c>
      <c r="B21" s="156"/>
      <c r="C21" s="156"/>
      <c r="D21" s="156"/>
      <c r="E21" s="156"/>
      <c r="F21" s="157"/>
      <c r="G21" s="178" t="s">
        <v>601</v>
      </c>
      <c r="H21" s="157"/>
      <c r="I21" s="157"/>
      <c r="J21" s="157"/>
      <c r="K21" s="158"/>
      <c r="L21" s="157"/>
      <c r="M21" s="157"/>
      <c r="N21" s="157"/>
      <c r="O21" s="157"/>
    </row>
    <row r="22" spans="1:15" ht="15">
      <c r="A22" s="551" t="s">
        <v>563</v>
      </c>
      <c r="B22" s="551" t="s">
        <v>602</v>
      </c>
      <c r="C22" s="551" t="s">
        <v>564</v>
      </c>
      <c r="D22" s="551" t="s">
        <v>566</v>
      </c>
      <c r="E22" s="551" t="s">
        <v>603</v>
      </c>
      <c r="F22" s="550" t="s">
        <v>568</v>
      </c>
      <c r="G22" s="549" t="s">
        <v>569</v>
      </c>
      <c r="H22" s="550" t="s">
        <v>570</v>
      </c>
      <c r="I22" s="550" t="s">
        <v>571</v>
      </c>
      <c r="J22" s="550" t="s">
        <v>572</v>
      </c>
      <c r="K22" s="550" t="s">
        <v>573</v>
      </c>
      <c r="L22" s="550" t="s">
        <v>574</v>
      </c>
      <c r="M22" s="550" t="s">
        <v>575</v>
      </c>
      <c r="N22" s="157"/>
      <c r="O22" s="157"/>
    </row>
    <row r="23" spans="1:15" ht="15" thickBot="1">
      <c r="A23" s="626">
        <v>1</v>
      </c>
      <c r="B23" s="479" t="s">
        <v>604</v>
      </c>
      <c r="C23" s="479" t="s">
        <v>578</v>
      </c>
      <c r="D23" s="479" t="s">
        <v>580</v>
      </c>
      <c r="E23" s="479" t="s">
        <v>578</v>
      </c>
      <c r="F23" s="482">
        <v>119.809144107549</v>
      </c>
      <c r="G23" s="485">
        <v>109.397095069287</v>
      </c>
      <c r="H23" s="482">
        <v>599.91662524882895</v>
      </c>
      <c r="I23" s="482">
        <v>14.325503422383701</v>
      </c>
      <c r="J23" s="482">
        <v>31.183892832120499</v>
      </c>
      <c r="K23" s="482">
        <v>12.228977581223701</v>
      </c>
      <c r="L23" s="482">
        <v>37.726395838075199</v>
      </c>
      <c r="M23" s="480"/>
      <c r="N23" s="157"/>
      <c r="O23" s="157"/>
    </row>
    <row r="24" spans="1:15" ht="15" thickBot="1">
      <c r="A24" s="628">
        <v>2</v>
      </c>
      <c r="B24" s="154" t="s">
        <v>604</v>
      </c>
      <c r="C24" s="154" t="s">
        <v>605</v>
      </c>
      <c r="D24" s="154" t="s">
        <v>583</v>
      </c>
      <c r="E24" s="154" t="s">
        <v>584</v>
      </c>
      <c r="F24" s="481">
        <v>145.956211826421</v>
      </c>
      <c r="G24" s="578">
        <v>141.285247226151</v>
      </c>
      <c r="H24" s="484">
        <v>1433.53108702642</v>
      </c>
      <c r="I24" s="482">
        <v>23.7324979878974</v>
      </c>
      <c r="J24" s="482">
        <v>3.3596757807606399</v>
      </c>
      <c r="K24" s="482">
        <v>25.197568355704799</v>
      </c>
      <c r="L24" s="482">
        <v>32.420871284340201</v>
      </c>
      <c r="M24" s="480"/>
      <c r="N24" s="157"/>
      <c r="O24" s="157"/>
    </row>
    <row r="25" spans="1:15">
      <c r="A25" s="155"/>
      <c r="B25" s="156"/>
      <c r="C25" s="156"/>
      <c r="D25" s="156"/>
      <c r="E25" s="156"/>
      <c r="F25" s="157"/>
      <c r="G25" s="157"/>
      <c r="H25" s="157"/>
      <c r="I25" s="157"/>
      <c r="J25" s="157"/>
      <c r="K25" s="157"/>
      <c r="L25" s="157"/>
      <c r="M25" s="9"/>
      <c r="N25" s="157"/>
      <c r="O25" s="157"/>
    </row>
    <row r="26" spans="1:15">
      <c r="A26" s="9"/>
      <c r="B26" s="9"/>
      <c r="C26" s="9"/>
      <c r="D26" s="9"/>
      <c r="E26" s="9"/>
      <c r="F26" s="9"/>
      <c r="G26" s="9"/>
      <c r="H26" s="9"/>
      <c r="I26" s="9"/>
      <c r="J26" s="9"/>
      <c r="K26" s="9"/>
      <c r="L26" s="9"/>
      <c r="M26" s="9"/>
      <c r="N26" s="9"/>
      <c r="O26" s="9"/>
    </row>
    <row r="27" spans="1:15" ht="15.6">
      <c r="A27" s="169" t="s">
        <v>606</v>
      </c>
      <c r="B27" s="9"/>
      <c r="C27" s="9"/>
      <c r="D27" s="9"/>
      <c r="E27" s="9"/>
      <c r="F27" s="9"/>
      <c r="G27" s="3" t="s">
        <v>363</v>
      </c>
      <c r="H27" s="621" t="s">
        <v>607</v>
      </c>
      <c r="I27" s="447"/>
      <c r="J27" s="9"/>
      <c r="K27" s="9"/>
      <c r="L27" s="9"/>
      <c r="M27" s="9"/>
      <c r="N27" s="9"/>
      <c r="O27" s="9"/>
    </row>
    <row r="28" spans="1:15" ht="15">
      <c r="A28" s="549" t="s">
        <v>608</v>
      </c>
      <c r="B28" s="551" t="s">
        <v>602</v>
      </c>
      <c r="C28" s="551" t="s">
        <v>609</v>
      </c>
      <c r="D28" s="551" t="s">
        <v>566</v>
      </c>
      <c r="E28" s="551" t="s">
        <v>603</v>
      </c>
      <c r="F28" s="549" t="s">
        <v>610</v>
      </c>
      <c r="G28" s="618" t="s">
        <v>611</v>
      </c>
      <c r="H28" s="618" t="s">
        <v>612</v>
      </c>
      <c r="I28" s="486"/>
      <c r="J28" s="9"/>
      <c r="K28" s="9"/>
      <c r="L28" s="9"/>
      <c r="M28" s="9"/>
      <c r="N28" s="9"/>
      <c r="O28" s="9"/>
    </row>
    <row r="29" spans="1:15">
      <c r="A29" s="626">
        <v>1</v>
      </c>
      <c r="B29" s="479" t="s">
        <v>604</v>
      </c>
      <c r="C29" s="479" t="s">
        <v>613</v>
      </c>
      <c r="D29" s="479" t="s">
        <v>580</v>
      </c>
      <c r="E29" s="479" t="s">
        <v>578</v>
      </c>
      <c r="F29" s="482">
        <v>6.1144887906118601</v>
      </c>
      <c r="G29" s="615">
        <f t="shared" ref="G29:G35" si="0">F29*$C$58</f>
        <v>840.63427564188487</v>
      </c>
      <c r="H29" s="586"/>
      <c r="I29" s="620" t="s">
        <v>614</v>
      </c>
      <c r="J29" s="9"/>
      <c r="K29" s="9"/>
      <c r="L29" s="9"/>
      <c r="M29" s="9"/>
      <c r="N29" s="9"/>
      <c r="O29" s="9"/>
    </row>
    <row r="30" spans="1:15">
      <c r="A30" s="628">
        <v>2</v>
      </c>
      <c r="B30" s="154" t="s">
        <v>604</v>
      </c>
      <c r="C30" s="154" t="s">
        <v>613</v>
      </c>
      <c r="D30" s="436" t="s">
        <v>583</v>
      </c>
      <c r="E30" s="154" t="s">
        <v>584</v>
      </c>
      <c r="F30" s="176">
        <v>16.798378903803201</v>
      </c>
      <c r="G30" s="615">
        <f t="shared" si="0"/>
        <v>2309.4805739832659</v>
      </c>
      <c r="H30" s="616">
        <f>G24*C58/10^3</f>
        <v>19.424227523844255</v>
      </c>
      <c r="I30" s="620" t="s">
        <v>615</v>
      </c>
      <c r="J30" s="9"/>
      <c r="K30" s="9"/>
      <c r="L30" s="9"/>
      <c r="M30" s="9"/>
      <c r="N30" s="9"/>
      <c r="O30" s="9"/>
    </row>
    <row r="31" spans="1:15">
      <c r="A31" s="628">
        <v>3</v>
      </c>
      <c r="B31" s="154" t="s">
        <v>604</v>
      </c>
      <c r="C31" s="154" t="s">
        <v>613</v>
      </c>
      <c r="D31" s="154" t="s">
        <v>588</v>
      </c>
      <c r="E31" s="154" t="s">
        <v>584</v>
      </c>
      <c r="F31" s="176">
        <v>17.537727685325301</v>
      </c>
      <c r="G31" s="615">
        <f t="shared" si="0"/>
        <v>2411.1279804444275</v>
      </c>
      <c r="H31" s="617">
        <f>G31*G14/10^3</f>
        <v>12.863367775671021</v>
      </c>
      <c r="I31" s="620" t="s">
        <v>616</v>
      </c>
      <c r="J31" s="9"/>
      <c r="K31" s="9"/>
      <c r="L31" s="9"/>
      <c r="M31" s="9"/>
      <c r="N31" s="9"/>
      <c r="O31" s="9"/>
    </row>
    <row r="32" spans="1:15">
      <c r="A32" s="629">
        <v>4</v>
      </c>
      <c r="B32" s="556" t="s">
        <v>604</v>
      </c>
      <c r="C32" s="556" t="s">
        <v>613</v>
      </c>
      <c r="D32" s="556" t="s">
        <v>591</v>
      </c>
      <c r="E32" s="556" t="s">
        <v>584</v>
      </c>
      <c r="F32" s="557">
        <v>17.537727685325301</v>
      </c>
      <c r="G32" s="615">
        <f t="shared" si="0"/>
        <v>2411.1279804444275</v>
      </c>
      <c r="H32" s="617">
        <f>G32*G15/10^3</f>
        <v>9.3551765641243776</v>
      </c>
      <c r="I32" s="620" t="s">
        <v>617</v>
      </c>
      <c r="J32" s="9"/>
      <c r="K32" s="9"/>
      <c r="L32" s="9"/>
      <c r="M32" s="9"/>
      <c r="N32" s="9"/>
      <c r="O32" s="9"/>
    </row>
    <row r="33" spans="1:16">
      <c r="A33" s="628">
        <v>5</v>
      </c>
      <c r="B33" s="154" t="s">
        <v>604</v>
      </c>
      <c r="C33" s="154" t="s">
        <v>613</v>
      </c>
      <c r="D33" s="154" t="s">
        <v>594</v>
      </c>
      <c r="E33" s="154" t="s">
        <v>584</v>
      </c>
      <c r="F33" s="176">
        <v>17.537727685325301</v>
      </c>
      <c r="G33" s="615">
        <f t="shared" si="0"/>
        <v>2411.1279804444275</v>
      </c>
      <c r="H33" s="617">
        <f>G33*G16/10^3</f>
        <v>2.4111279804444274</v>
      </c>
      <c r="I33" s="620" t="s">
        <v>618</v>
      </c>
      <c r="J33" s="9"/>
      <c r="K33" s="9"/>
      <c r="L33" s="9"/>
      <c r="M33" s="9"/>
      <c r="N33" s="9"/>
      <c r="O33" s="9"/>
    </row>
    <row r="34" spans="1:16">
      <c r="A34" s="628">
        <v>6</v>
      </c>
      <c r="B34" s="154" t="s">
        <v>604</v>
      </c>
      <c r="C34" s="154" t="s">
        <v>613</v>
      </c>
      <c r="D34" s="154" t="s">
        <v>596</v>
      </c>
      <c r="E34" s="154" t="s">
        <v>525</v>
      </c>
      <c r="F34" s="176">
        <v>10.641598624838799</v>
      </c>
      <c r="G34" s="615">
        <f t="shared" si="0"/>
        <v>1463.0319652230276</v>
      </c>
      <c r="H34" s="617">
        <f>G34*G17/10^3</f>
        <v>2.0482447513122382</v>
      </c>
      <c r="I34" s="620" t="s">
        <v>619</v>
      </c>
      <c r="J34" s="9"/>
      <c r="K34" s="9"/>
      <c r="L34" s="9"/>
      <c r="M34" s="9"/>
      <c r="N34" s="9"/>
      <c r="O34" s="9"/>
    </row>
    <row r="35" spans="1:16">
      <c r="A35" s="628">
        <v>7</v>
      </c>
      <c r="B35" s="154" t="s">
        <v>604</v>
      </c>
      <c r="C35" s="154" t="s">
        <v>613</v>
      </c>
      <c r="D35" s="154" t="s">
        <v>599</v>
      </c>
      <c r="E35" s="154" t="s">
        <v>525</v>
      </c>
      <c r="F35" s="176">
        <v>10.641598624838799</v>
      </c>
      <c r="G35" s="615">
        <f t="shared" si="0"/>
        <v>1463.0319652230276</v>
      </c>
      <c r="H35" s="617">
        <f>G35*G18/10^3</f>
        <v>2.0482447513122382</v>
      </c>
      <c r="I35" s="9"/>
      <c r="J35" s="9"/>
      <c r="K35" s="9"/>
      <c r="L35" s="9"/>
      <c r="M35" s="9"/>
      <c r="N35" s="9"/>
      <c r="O35" s="9"/>
    </row>
    <row r="36" spans="1:16">
      <c r="A36" s="155"/>
      <c r="B36" s="156"/>
      <c r="C36" s="156"/>
      <c r="D36" s="156"/>
      <c r="E36" s="156"/>
      <c r="F36" s="157"/>
      <c r="G36" s="171"/>
      <c r="H36" s="172"/>
      <c r="I36" s="9"/>
      <c r="J36" s="9"/>
      <c r="K36" s="9"/>
      <c r="L36" s="9"/>
      <c r="M36" s="9"/>
      <c r="N36" s="9"/>
      <c r="O36" s="9"/>
    </row>
    <row r="37" spans="1:16" ht="15.6">
      <c r="A37" s="169" t="s">
        <v>620</v>
      </c>
      <c r="B37" s="9"/>
      <c r="C37" s="9"/>
      <c r="D37" s="9"/>
      <c r="E37" s="9"/>
      <c r="F37" s="9"/>
      <c r="G37" s="3" t="s">
        <v>621</v>
      </c>
      <c r="J37" s="9"/>
      <c r="K37" s="9"/>
      <c r="L37" s="9"/>
      <c r="M37" s="9"/>
      <c r="N37" s="9"/>
      <c r="O37" s="9"/>
    </row>
    <row r="38" spans="1:16" ht="15">
      <c r="A38" s="549" t="s">
        <v>608</v>
      </c>
      <c r="B38" s="551" t="s">
        <v>622</v>
      </c>
      <c r="C38" s="551" t="s">
        <v>623</v>
      </c>
      <c r="D38" s="551" t="s">
        <v>624</v>
      </c>
      <c r="E38" s="551" t="s">
        <v>625</v>
      </c>
      <c r="F38" s="549" t="s">
        <v>626</v>
      </c>
      <c r="G38" s="179" t="s">
        <v>611</v>
      </c>
      <c r="H38" s="180" t="s">
        <v>612</v>
      </c>
      <c r="I38" s="447" t="s">
        <v>627</v>
      </c>
      <c r="J38" s="9"/>
      <c r="K38" s="9"/>
      <c r="L38" s="9"/>
      <c r="M38" s="9"/>
      <c r="N38" s="9"/>
      <c r="O38" s="9"/>
    </row>
    <row r="39" spans="1:16">
      <c r="A39" s="478"/>
      <c r="B39" s="611" t="s">
        <v>628</v>
      </c>
      <c r="C39" s="436" t="s">
        <v>66</v>
      </c>
      <c r="D39" s="436" t="s">
        <v>583</v>
      </c>
      <c r="E39" s="611" t="s">
        <v>584</v>
      </c>
      <c r="F39" s="612">
        <f>G24/F30</f>
        <v>8.410647719951335</v>
      </c>
      <c r="G39" s="185">
        <f>'NZ nat data'!$H$33</f>
        <v>2474.2876957569802</v>
      </c>
      <c r="H39" s="619">
        <f>F39*G39/10^3</f>
        <v>20.810362166822088</v>
      </c>
      <c r="I39" s="558"/>
      <c r="J39" s="9"/>
      <c r="K39" s="9"/>
      <c r="L39" s="9"/>
      <c r="M39" s="9"/>
      <c r="N39" s="9"/>
      <c r="O39" s="9"/>
    </row>
    <row r="40" spans="1:16">
      <c r="A40" s="175"/>
      <c r="B40" s="611" t="s">
        <v>628</v>
      </c>
      <c r="C40" s="436" t="s">
        <v>67</v>
      </c>
      <c r="D40" s="436" t="s">
        <v>583</v>
      </c>
      <c r="E40" s="611" t="s">
        <v>584</v>
      </c>
      <c r="F40" s="612">
        <f>G14</f>
        <v>5.335</v>
      </c>
      <c r="G40" s="185">
        <f>'NZ nat data'!$H$33</f>
        <v>2474.2876957569802</v>
      </c>
      <c r="H40" s="619">
        <f t="shared" ref="H40:H43" si="1">F40*G40/10^3</f>
        <v>13.200324856863491</v>
      </c>
      <c r="I40" s="447"/>
      <c r="J40" s="9"/>
      <c r="K40" s="9"/>
      <c r="L40" s="9"/>
      <c r="M40" s="9"/>
      <c r="N40" s="9"/>
      <c r="O40" s="9"/>
    </row>
    <row r="41" spans="1:16">
      <c r="A41" s="175"/>
      <c r="B41" s="611" t="s">
        <v>628</v>
      </c>
      <c r="C41" s="436" t="s">
        <v>68</v>
      </c>
      <c r="D41" s="154" t="s">
        <v>588</v>
      </c>
      <c r="E41" s="611" t="s">
        <v>584</v>
      </c>
      <c r="F41" s="612">
        <f>G15</f>
        <v>3.88</v>
      </c>
      <c r="G41" s="185">
        <f>'NZ nat data'!$H$33</f>
        <v>2474.2876957569802</v>
      </c>
      <c r="H41" s="619">
        <f t="shared" si="1"/>
        <v>9.600236259537084</v>
      </c>
      <c r="I41" s="447"/>
      <c r="J41" s="9"/>
      <c r="K41" s="9"/>
      <c r="L41" s="9"/>
      <c r="M41" s="9"/>
      <c r="N41" s="9"/>
      <c r="O41" s="9"/>
    </row>
    <row r="42" spans="1:16">
      <c r="A42" s="555"/>
      <c r="B42" s="611" t="s">
        <v>628</v>
      </c>
      <c r="C42" s="436" t="s">
        <v>69</v>
      </c>
      <c r="D42" s="154" t="s">
        <v>594</v>
      </c>
      <c r="E42" s="611" t="s">
        <v>584</v>
      </c>
      <c r="F42" s="612">
        <f>G16</f>
        <v>1</v>
      </c>
      <c r="G42" s="185">
        <f>'NZ nat data'!$H$33</f>
        <v>2474.2876957569802</v>
      </c>
      <c r="H42" s="619">
        <f t="shared" si="1"/>
        <v>2.4742876957569804</v>
      </c>
      <c r="I42" s="558"/>
      <c r="J42" s="9"/>
      <c r="K42" s="9"/>
      <c r="L42" s="9"/>
      <c r="M42" s="9"/>
      <c r="N42" s="9"/>
      <c r="O42" s="9"/>
    </row>
    <row r="43" spans="1:16">
      <c r="A43" s="175"/>
      <c r="B43" s="611" t="s">
        <v>628</v>
      </c>
      <c r="C43" s="436" t="s">
        <v>70</v>
      </c>
      <c r="D43" s="154" t="s">
        <v>596</v>
      </c>
      <c r="E43" s="611" t="s">
        <v>584</v>
      </c>
      <c r="F43" s="612">
        <f>G17</f>
        <v>1.4</v>
      </c>
      <c r="G43" s="185">
        <f>'NZ nat data'!$H$40</f>
        <v>1463.0319652230276</v>
      </c>
      <c r="H43" s="619">
        <f t="shared" si="1"/>
        <v>2.0482447513122382</v>
      </c>
      <c r="I43" s="447"/>
      <c r="J43" s="9"/>
      <c r="K43" s="9"/>
      <c r="L43" s="9"/>
      <c r="M43" s="9"/>
      <c r="N43" s="9"/>
      <c r="O43" s="9"/>
    </row>
    <row r="44" spans="1:16">
      <c r="A44" s="175"/>
      <c r="B44" s="154"/>
      <c r="C44" s="154"/>
      <c r="D44" s="436"/>
      <c r="E44" s="154"/>
      <c r="F44" s="176"/>
      <c r="G44" s="613"/>
      <c r="H44" s="614"/>
      <c r="I44" s="447"/>
      <c r="J44" s="9"/>
      <c r="K44" s="9"/>
      <c r="L44" s="9"/>
      <c r="M44" s="9"/>
      <c r="N44" s="9"/>
      <c r="O44" s="9"/>
    </row>
    <row r="45" spans="1:16">
      <c r="A45" s="9"/>
      <c r="B45" s="9"/>
      <c r="C45" s="9"/>
      <c r="D45" s="9"/>
      <c r="E45" s="9"/>
      <c r="F45" s="9"/>
      <c r="G45" s="9"/>
      <c r="H45" s="9"/>
      <c r="I45" s="9"/>
      <c r="J45" s="9"/>
      <c r="K45" s="9"/>
      <c r="L45" s="9"/>
      <c r="M45" s="9"/>
      <c r="N45" s="9"/>
      <c r="O45" s="9"/>
      <c r="P45" s="9"/>
    </row>
    <row r="46" spans="1:16">
      <c r="A46" s="9"/>
      <c r="B46" s="9"/>
      <c r="C46" s="9"/>
      <c r="D46" s="9"/>
      <c r="E46" s="9"/>
      <c r="F46" s="9"/>
      <c r="G46" s="9"/>
      <c r="H46" s="9"/>
      <c r="I46" s="9"/>
      <c r="J46" s="9"/>
      <c r="K46" s="9"/>
      <c r="L46" s="9"/>
      <c r="M46" s="9"/>
      <c r="N46" s="9"/>
      <c r="O46" s="9"/>
      <c r="P46" s="9"/>
    </row>
    <row r="47" spans="1:16">
      <c r="A47" s="622"/>
      <c r="B47" s="622"/>
      <c r="C47" s="622"/>
      <c r="D47" s="622"/>
      <c r="E47" s="622"/>
      <c r="F47" s="622"/>
      <c r="G47" s="622"/>
      <c r="H47" s="622"/>
      <c r="I47" s="622"/>
      <c r="J47" s="622"/>
      <c r="K47" s="622"/>
      <c r="L47" s="622"/>
      <c r="M47" s="622"/>
      <c r="N47" s="622"/>
      <c r="O47" s="622"/>
    </row>
    <row r="48" spans="1:16" ht="15.6">
      <c r="A48" s="169" t="s">
        <v>629</v>
      </c>
      <c r="B48" s="9"/>
      <c r="C48" s="9"/>
      <c r="D48" s="9"/>
      <c r="E48" s="9"/>
      <c r="F48" s="9"/>
      <c r="G48" s="9"/>
      <c r="H48" s="9"/>
      <c r="I48" s="9"/>
      <c r="J48" s="9"/>
      <c r="K48" s="9"/>
      <c r="L48" s="9"/>
      <c r="M48" s="9"/>
      <c r="N48" s="9"/>
      <c r="O48" s="9"/>
      <c r="P48" s="9"/>
    </row>
    <row r="49" spans="1:16">
      <c r="A49" s="9"/>
      <c r="B49" s="2"/>
      <c r="C49" s="102" t="s">
        <v>630</v>
      </c>
      <c r="D49" s="2">
        <v>31</v>
      </c>
      <c r="E49" s="2">
        <v>28</v>
      </c>
      <c r="F49" s="2">
        <v>31</v>
      </c>
      <c r="G49" s="2">
        <v>31</v>
      </c>
      <c r="H49" s="2">
        <v>31</v>
      </c>
      <c r="I49" s="2">
        <v>30</v>
      </c>
      <c r="J49" s="2">
        <v>31</v>
      </c>
      <c r="K49" s="2">
        <v>31</v>
      </c>
      <c r="L49" s="2">
        <v>30</v>
      </c>
      <c r="M49" s="2">
        <v>31</v>
      </c>
      <c r="N49" s="2">
        <v>30</v>
      </c>
      <c r="O49" s="2">
        <v>31</v>
      </c>
      <c r="P49" s="9"/>
    </row>
    <row r="50" spans="1:16">
      <c r="A50" s="9"/>
      <c r="B50" s="551" t="s">
        <v>602</v>
      </c>
      <c r="C50" s="551" t="s">
        <v>631</v>
      </c>
      <c r="D50" s="552" t="s">
        <v>632</v>
      </c>
      <c r="E50" s="552" t="s">
        <v>633</v>
      </c>
      <c r="F50" s="552" t="s">
        <v>634</v>
      </c>
      <c r="G50" s="552" t="s">
        <v>635</v>
      </c>
      <c r="H50" s="552" t="s">
        <v>636</v>
      </c>
      <c r="I50" s="552" t="s">
        <v>637</v>
      </c>
      <c r="J50" s="552" t="s">
        <v>638</v>
      </c>
      <c r="K50" s="552" t="s">
        <v>639</v>
      </c>
      <c r="L50" s="552" t="s">
        <v>640</v>
      </c>
      <c r="M50" s="552" t="s">
        <v>641</v>
      </c>
      <c r="N50" s="552" t="s">
        <v>642</v>
      </c>
      <c r="O50" s="552" t="s">
        <v>643</v>
      </c>
      <c r="P50" s="9"/>
    </row>
    <row r="51" spans="1:16">
      <c r="A51" s="9"/>
      <c r="B51" s="154" t="s">
        <v>604</v>
      </c>
      <c r="C51" s="182">
        <v>0.70731306100038405</v>
      </c>
      <c r="D51" s="183">
        <v>6.9641749546482399E-3</v>
      </c>
      <c r="E51" s="183">
        <v>6.9852963731638698E-3</v>
      </c>
      <c r="F51" s="183">
        <v>3.05098006494498E-2</v>
      </c>
      <c r="G51" s="183">
        <v>0.17112150883317601</v>
      </c>
      <c r="H51" s="183">
        <v>0.69123561391084998</v>
      </c>
      <c r="I51" s="183">
        <v>0.96115913883021997</v>
      </c>
      <c r="J51" s="183">
        <v>1</v>
      </c>
      <c r="K51" s="183">
        <v>0.97189215375523397</v>
      </c>
      <c r="L51" s="183">
        <v>0.45098814453307201</v>
      </c>
      <c r="M51" s="183">
        <v>0.15732526421270601</v>
      </c>
      <c r="N51" s="183">
        <v>2.4817565540748598E-2</v>
      </c>
      <c r="O51" s="183">
        <v>8.9454906599986308E-3</v>
      </c>
      <c r="P51" s="9"/>
    </row>
    <row r="52" spans="1:16">
      <c r="A52" s="9"/>
      <c r="B52" s="2"/>
      <c r="C52" s="2"/>
      <c r="D52" s="2"/>
      <c r="E52" s="2"/>
      <c r="F52" s="2"/>
      <c r="G52" s="2"/>
      <c r="H52" s="2"/>
      <c r="I52" s="2"/>
      <c r="J52" s="2"/>
      <c r="K52" s="2"/>
      <c r="L52" s="2"/>
      <c r="M52" s="2"/>
      <c r="N52" s="2"/>
      <c r="O52" s="2"/>
      <c r="P52" s="9"/>
    </row>
    <row r="53" spans="1:16">
      <c r="A53" s="9"/>
      <c r="B53" s="586"/>
      <c r="C53" s="610" t="s">
        <v>644</v>
      </c>
      <c r="D53" s="2"/>
      <c r="E53" s="2"/>
      <c r="F53" s="2"/>
      <c r="G53" s="2"/>
      <c r="H53" s="2"/>
      <c r="I53" s="2"/>
      <c r="J53" s="2"/>
      <c r="K53" s="2"/>
      <c r="L53" s="2"/>
      <c r="M53" s="2"/>
      <c r="N53" s="2"/>
      <c r="O53" s="2"/>
      <c r="P53" s="9"/>
    </row>
    <row r="54" spans="1:16">
      <c r="A54" s="9"/>
      <c r="B54" s="586" t="s">
        <v>645</v>
      </c>
      <c r="C54" s="623">
        <f>L51*L49+M51*M49+N51*N49</f>
        <v>19.151254492808505</v>
      </c>
      <c r="D54" s="2"/>
      <c r="E54" s="2"/>
      <c r="F54" s="2"/>
      <c r="G54" s="2"/>
      <c r="H54" s="2"/>
      <c r="I54" s="2"/>
      <c r="J54" s="2"/>
      <c r="K54" s="2"/>
      <c r="L54" s="2"/>
      <c r="M54" s="2"/>
      <c r="N54" s="2"/>
      <c r="O54" s="2"/>
      <c r="P54" s="9"/>
    </row>
    <row r="55" spans="1:16">
      <c r="A55" s="9"/>
      <c r="B55" s="586" t="s">
        <v>646</v>
      </c>
      <c r="C55" s="623">
        <f>O51*O49+D51*D49+E51*E49</f>
        <v>0.68878793250264136</v>
      </c>
      <c r="D55" s="2"/>
      <c r="E55" s="2"/>
      <c r="F55" s="2"/>
      <c r="G55" s="2"/>
      <c r="H55" s="2"/>
      <c r="I55" s="2"/>
      <c r="J55" s="2"/>
      <c r="K55" s="2"/>
      <c r="L55" s="2"/>
      <c r="M55" s="2"/>
      <c r="N55" s="2"/>
      <c r="O55" s="2"/>
      <c r="P55" s="9"/>
    </row>
    <row r="56" spans="1:16">
      <c r="A56" s="9"/>
      <c r="B56" s="586" t="s">
        <v>647</v>
      </c>
      <c r="C56" s="623">
        <f>F51*F49+G51*G49+H51*H49</f>
        <v>27.67887462519775</v>
      </c>
      <c r="D56" s="2"/>
      <c r="E56" s="2"/>
      <c r="F56" s="2"/>
      <c r="G56" s="2"/>
      <c r="H56" s="2"/>
      <c r="I56" s="2"/>
      <c r="J56" s="2"/>
      <c r="K56" s="2"/>
      <c r="L56" s="2"/>
      <c r="M56" s="2"/>
      <c r="N56" s="2"/>
      <c r="O56" s="2"/>
      <c r="P56" s="9"/>
    </row>
    <row r="57" spans="1:16">
      <c r="A57" s="9"/>
      <c r="B57" s="586" t="s">
        <v>648</v>
      </c>
      <c r="C57" s="623">
        <f>I51*I49+J51*J49+K51*K49</f>
        <v>89.963430931318854</v>
      </c>
      <c r="D57" s="2"/>
      <c r="E57" s="2"/>
      <c r="F57" s="2"/>
      <c r="G57" s="2"/>
      <c r="H57" s="2"/>
      <c r="I57" s="2"/>
      <c r="J57" s="2"/>
      <c r="K57" s="2"/>
      <c r="L57" s="2"/>
      <c r="M57" s="2"/>
      <c r="N57" s="2"/>
      <c r="O57" s="2"/>
      <c r="P57" s="9"/>
    </row>
    <row r="58" spans="1:16">
      <c r="A58" s="9"/>
      <c r="B58" s="624" t="s">
        <v>649</v>
      </c>
      <c r="C58" s="625">
        <f>SUM(C54:C57)</f>
        <v>137.48234798182776</v>
      </c>
      <c r="D58" s="2"/>
      <c r="E58" s="2"/>
      <c r="F58" s="2"/>
      <c r="G58" s="2"/>
      <c r="H58" s="2"/>
      <c r="I58" s="2"/>
      <c r="J58" s="2"/>
      <c r="K58" s="2"/>
      <c r="L58" s="2"/>
      <c r="M58" s="2"/>
      <c r="N58" s="2"/>
      <c r="O58" s="2"/>
      <c r="P58" s="9"/>
    </row>
    <row r="59" spans="1:16">
      <c r="A59" s="9"/>
      <c r="B59" s="9"/>
      <c r="C59" s="9"/>
      <c r="D59" s="9"/>
      <c r="E59" s="9"/>
      <c r="F59" s="9"/>
      <c r="G59" s="9"/>
      <c r="H59" s="9"/>
      <c r="I59" s="9"/>
      <c r="J59" s="9"/>
      <c r="K59" s="9"/>
      <c r="L59" s="9"/>
      <c r="M59" s="9"/>
      <c r="N59" s="9"/>
      <c r="O59" s="9"/>
      <c r="P59" s="9"/>
    </row>
    <row r="62" spans="1:16" ht="18.600000000000001">
      <c r="A62" s="184" t="s">
        <v>650</v>
      </c>
      <c r="B62" s="9"/>
      <c r="C62" s="9"/>
      <c r="D62" s="9"/>
      <c r="E62" s="9"/>
      <c r="F62" s="9"/>
      <c r="G62" s="9"/>
      <c r="H62" s="9"/>
      <c r="I62" s="9"/>
      <c r="J62" s="9"/>
      <c r="K62" s="9"/>
      <c r="L62" s="9"/>
      <c r="M62" s="9"/>
      <c r="N62" s="9"/>
      <c r="O62" s="9"/>
      <c r="P62" s="9"/>
    </row>
    <row r="63" spans="1:16" ht="15">
      <c r="A63" s="2" t="s">
        <v>651</v>
      </c>
      <c r="B63" s="9"/>
      <c r="C63" s="2" t="s">
        <v>652</v>
      </c>
      <c r="D63" s="9"/>
      <c r="E63" s="9"/>
      <c r="F63" s="9"/>
      <c r="G63" s="9"/>
      <c r="H63" s="9"/>
      <c r="I63" s="9"/>
      <c r="J63" s="9"/>
      <c r="K63" s="9"/>
      <c r="L63" s="9"/>
      <c r="M63" s="9"/>
      <c r="N63" s="9"/>
      <c r="O63" s="9"/>
      <c r="P63" s="9"/>
    </row>
    <row r="64" spans="1:16" ht="12.95" customHeight="1">
      <c r="A64" s="9"/>
      <c r="B64" s="2"/>
      <c r="C64" s="2"/>
      <c r="D64" s="2"/>
      <c r="F64" s="2"/>
      <c r="G64" s="9"/>
      <c r="H64" s="9"/>
      <c r="I64" s="9"/>
      <c r="J64" s="9"/>
      <c r="K64" s="9"/>
      <c r="L64" s="9"/>
      <c r="M64" s="9"/>
      <c r="N64" s="9"/>
      <c r="O64" s="9"/>
      <c r="P64" s="9"/>
    </row>
    <row r="65" spans="1:16">
      <c r="A65" s="9"/>
      <c r="B65" s="696" t="s">
        <v>653</v>
      </c>
      <c r="C65" s="698" t="s">
        <v>654</v>
      </c>
      <c r="D65" s="697" t="s">
        <v>104</v>
      </c>
      <c r="E65" s="752" t="s">
        <v>655</v>
      </c>
      <c r="F65" s="752"/>
      <c r="G65" s="752"/>
      <c r="H65" s="9"/>
      <c r="I65" s="9"/>
      <c r="J65" s="9"/>
      <c r="K65" s="9"/>
      <c r="L65" s="9"/>
      <c r="M65" s="9"/>
      <c r="N65" s="9"/>
      <c r="O65" s="9"/>
      <c r="P65" s="9"/>
    </row>
    <row r="66" spans="1:16">
      <c r="A66" s="9"/>
      <c r="B66" s="480" t="s">
        <v>656</v>
      </c>
      <c r="C66" s="480">
        <v>0.2</v>
      </c>
      <c r="D66" s="690" t="s">
        <v>657</v>
      </c>
      <c r="E66" s="753" t="s">
        <v>658</v>
      </c>
      <c r="F66" s="753"/>
      <c r="G66" s="753"/>
      <c r="H66" s="693"/>
      <c r="I66" s="693"/>
      <c r="J66" s="9"/>
      <c r="K66" s="9"/>
      <c r="L66" s="9"/>
      <c r="M66" s="9"/>
      <c r="N66" s="9"/>
      <c r="O66" s="9"/>
      <c r="P66" s="9"/>
    </row>
    <row r="67" spans="1:16">
      <c r="A67" s="9"/>
      <c r="B67" s="480" t="s">
        <v>659</v>
      </c>
      <c r="C67" s="480">
        <f>C66*365</f>
        <v>73</v>
      </c>
      <c r="D67" s="690" t="s">
        <v>490</v>
      </c>
      <c r="E67" s="753" t="s">
        <v>660</v>
      </c>
      <c r="F67" s="753"/>
      <c r="G67" s="753"/>
      <c r="H67" s="693"/>
      <c r="I67" s="693"/>
      <c r="J67" s="9"/>
      <c r="K67" s="9"/>
      <c r="L67" s="9"/>
      <c r="M67" s="9"/>
      <c r="N67" s="9"/>
      <c r="O67" s="9"/>
      <c r="P67" s="9"/>
    </row>
    <row r="68" spans="1:16">
      <c r="A68" s="9"/>
      <c r="B68" s="480" t="s">
        <v>661</v>
      </c>
      <c r="C68" s="480">
        <v>26.4</v>
      </c>
      <c r="D68" s="690" t="s">
        <v>662</v>
      </c>
      <c r="E68" s="753" t="s">
        <v>663</v>
      </c>
      <c r="F68" s="753"/>
      <c r="G68" s="753"/>
      <c r="H68" s="693"/>
      <c r="I68" s="693"/>
      <c r="J68" s="9"/>
      <c r="K68" s="9"/>
      <c r="L68" s="9"/>
      <c r="M68" s="9"/>
      <c r="N68" s="9"/>
      <c r="O68" s="9"/>
      <c r="P68" s="9"/>
    </row>
    <row r="69" spans="1:16">
      <c r="A69" s="9"/>
      <c r="B69" s="695" t="s">
        <v>664</v>
      </c>
      <c r="C69" s="694">
        <f>C67*C68/10^6</f>
        <v>1.9271999999999998E-3</v>
      </c>
      <c r="D69" s="206" t="s">
        <v>665</v>
      </c>
      <c r="E69" s="480"/>
      <c r="F69" s="480"/>
      <c r="G69" s="693"/>
      <c r="H69" s="693"/>
      <c r="I69" s="693"/>
      <c r="J69" s="9"/>
      <c r="K69" s="9"/>
      <c r="L69" s="9"/>
      <c r="M69" s="9"/>
      <c r="N69" s="9"/>
      <c r="O69" s="9"/>
      <c r="P69" s="9"/>
    </row>
    <row r="70" spans="1:16">
      <c r="A70" s="9"/>
      <c r="B70" s="480"/>
      <c r="C70" s="694"/>
      <c r="D70" s="690"/>
      <c r="E70" s="480"/>
      <c r="F70" s="480"/>
      <c r="G70" s="693"/>
      <c r="H70" s="693"/>
      <c r="I70" s="693"/>
      <c r="J70" s="9"/>
      <c r="K70" s="9"/>
      <c r="L70" s="9"/>
      <c r="M70" s="9"/>
      <c r="N70" s="9"/>
      <c r="O70" s="9"/>
      <c r="P70" s="9"/>
    </row>
    <row r="71" spans="1:16" ht="15">
      <c r="A71" s="9"/>
      <c r="B71" s="480" t="s">
        <v>666</v>
      </c>
      <c r="C71" s="480">
        <v>51</v>
      </c>
      <c r="D71" s="690" t="s">
        <v>667</v>
      </c>
      <c r="E71" s="480" t="s">
        <v>668</v>
      </c>
      <c r="F71" s="480"/>
      <c r="G71" s="693"/>
      <c r="H71" s="693"/>
      <c r="I71" s="693"/>
      <c r="J71" s="9"/>
      <c r="K71" s="9"/>
      <c r="L71" s="9"/>
      <c r="M71" s="9"/>
      <c r="N71" s="9"/>
      <c r="O71" s="9"/>
      <c r="P71" s="9"/>
    </row>
    <row r="72" spans="1:16">
      <c r="A72" s="9"/>
      <c r="B72" s="480"/>
      <c r="C72" s="480"/>
      <c r="D72" s="480"/>
      <c r="E72" s="480"/>
      <c r="F72" s="480"/>
      <c r="G72" s="693"/>
      <c r="H72" s="693"/>
      <c r="I72" s="693"/>
      <c r="J72" s="9"/>
      <c r="K72" s="9"/>
      <c r="L72" s="9"/>
      <c r="M72" s="9"/>
      <c r="N72" s="9"/>
      <c r="O72" s="9"/>
      <c r="P72" s="9"/>
    </row>
    <row r="73" spans="1:16" ht="15">
      <c r="A73" s="9"/>
      <c r="B73" s="696" t="s">
        <v>669</v>
      </c>
      <c r="C73" s="480">
        <f>C71*C69</f>
        <v>9.8287199999999991E-2</v>
      </c>
      <c r="D73" s="697" t="s">
        <v>670</v>
      </c>
      <c r="E73" s="480" t="s">
        <v>671</v>
      </c>
      <c r="F73" s="480"/>
      <c r="G73" s="693"/>
      <c r="H73" s="693"/>
      <c r="I73" s="693"/>
      <c r="J73" s="9"/>
      <c r="K73" s="9"/>
      <c r="L73" s="9"/>
      <c r="M73" s="9"/>
      <c r="N73" s="9"/>
      <c r="O73" s="9"/>
      <c r="P73" s="9"/>
    </row>
    <row r="74" spans="1:16">
      <c r="A74" s="9"/>
      <c r="B74" s="9"/>
      <c r="C74" s="9"/>
      <c r="D74" s="9"/>
      <c r="E74" s="9"/>
      <c r="F74" s="9"/>
      <c r="G74" s="9"/>
      <c r="H74" s="9"/>
      <c r="I74" s="9"/>
      <c r="J74" s="9"/>
      <c r="K74" s="9"/>
      <c r="L74" s="9"/>
      <c r="M74" s="9"/>
      <c r="N74" s="9"/>
      <c r="O74" s="9"/>
      <c r="P74" s="9"/>
    </row>
  </sheetData>
  <mergeCells count="4">
    <mergeCell ref="E65:G65"/>
    <mergeCell ref="E66:G66"/>
    <mergeCell ref="E67:G67"/>
    <mergeCell ref="E68:G68"/>
  </mergeCells>
  <hyperlinks>
    <hyperlink ref="A4" location="Contents!A1" display="Back to Contents" xr:uid="{41F47F58-8121-43E3-8035-8002DA4D112B}"/>
  </hyperlinks>
  <pageMargins left="0.19685039370078741" right="0.19685039370078741" top="0.19685039370078741" bottom="0.19685039370078741" header="0.31496062992125984" footer="0.31496062992125984"/>
  <pageSetup paperSize="9" scale="50" fitToHeight="0" orientation="landscape" horizontalDpi="0" verticalDpi="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3EFA-721D-4FB8-A288-06CD95D3FB99}">
  <sheetPr>
    <tabColor theme="5" tint="0.39997558519241921"/>
  </sheetPr>
  <dimension ref="A1:O49"/>
  <sheetViews>
    <sheetView workbookViewId="0">
      <selection activeCell="E38" sqref="E38"/>
    </sheetView>
  </sheetViews>
  <sheetFormatPr defaultRowHeight="14.45"/>
  <cols>
    <col min="2" max="2" width="13.140625" customWidth="1"/>
    <col min="3" max="5" width="18.140625" customWidth="1"/>
    <col min="6" max="6" width="10.7109375" customWidth="1"/>
    <col min="7" max="7" width="49.42578125" bestFit="1" customWidth="1"/>
    <col min="8" max="8" width="16.5703125" bestFit="1" customWidth="1"/>
  </cols>
  <sheetData>
    <row r="1" spans="1:15" ht="18.600000000000001">
      <c r="A1" s="187" t="s">
        <v>45</v>
      </c>
      <c r="B1" s="173"/>
      <c r="C1" s="173"/>
      <c r="D1" s="181"/>
      <c r="E1" s="173"/>
      <c r="F1" s="173"/>
      <c r="G1" s="173"/>
      <c r="H1" s="2"/>
    </row>
    <row r="2" spans="1:15" ht="15">
      <c r="A2" s="2" t="s">
        <v>672</v>
      </c>
      <c r="B2" s="2"/>
      <c r="C2" s="2"/>
      <c r="D2" s="2"/>
      <c r="E2" s="2"/>
      <c r="F2" s="2"/>
      <c r="G2" s="2"/>
      <c r="H2" s="2"/>
      <c r="I2" s="2"/>
      <c r="J2" s="2"/>
      <c r="K2" s="2"/>
      <c r="L2" s="2"/>
      <c r="M2" s="2"/>
      <c r="N2" s="2"/>
      <c r="O2" s="2"/>
    </row>
    <row r="3" spans="1:15">
      <c r="A3" s="437" t="s">
        <v>673</v>
      </c>
      <c r="B3" s="2"/>
      <c r="C3" s="2"/>
      <c r="D3" s="2"/>
      <c r="E3" s="2"/>
      <c r="F3" s="2"/>
      <c r="G3" s="2"/>
      <c r="H3" s="2"/>
      <c r="I3" s="2"/>
      <c r="J3" s="2"/>
      <c r="K3" s="2"/>
      <c r="L3" s="2"/>
      <c r="M3" s="2"/>
      <c r="N3" s="2"/>
      <c r="O3" s="2"/>
    </row>
    <row r="4" spans="1:15">
      <c r="A4" s="192" t="s">
        <v>59</v>
      </c>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ht="18.600000000000001">
      <c r="A7" s="184" t="s">
        <v>674</v>
      </c>
      <c r="B7" s="2"/>
      <c r="C7" s="2"/>
      <c r="D7" s="2"/>
      <c r="E7" s="2"/>
      <c r="F7" s="2"/>
      <c r="G7" s="2"/>
      <c r="H7" s="2"/>
      <c r="I7" s="2"/>
      <c r="J7" s="2"/>
      <c r="K7" s="2"/>
      <c r="L7" s="2"/>
      <c r="M7" s="2"/>
      <c r="N7" s="2"/>
      <c r="O7" s="2"/>
    </row>
    <row r="8" spans="1:15">
      <c r="A8" s="2" t="s">
        <v>675</v>
      </c>
      <c r="B8" s="2"/>
      <c r="C8" s="2"/>
      <c r="D8" s="2" t="s">
        <v>676</v>
      </c>
      <c r="E8" s="2"/>
      <c r="F8" s="2"/>
      <c r="G8" s="2"/>
      <c r="H8" s="2"/>
      <c r="I8" s="2"/>
      <c r="J8" s="2"/>
      <c r="K8" s="2"/>
      <c r="L8" s="2"/>
      <c r="M8" s="2"/>
      <c r="N8" s="2"/>
      <c r="O8" s="2"/>
    </row>
    <row r="9" spans="1:15" ht="15" thickBot="1">
      <c r="A9" s="2"/>
      <c r="B9" s="2"/>
      <c r="C9" s="2"/>
      <c r="D9" s="2"/>
      <c r="E9" s="2"/>
      <c r="F9" s="2"/>
      <c r="G9" s="2"/>
      <c r="H9" s="2"/>
      <c r="I9" s="2"/>
      <c r="J9" s="2"/>
      <c r="K9" s="2"/>
      <c r="L9" s="2"/>
      <c r="M9" s="2"/>
      <c r="N9" s="2"/>
      <c r="O9" s="2"/>
    </row>
    <row r="10" spans="1:15">
      <c r="A10" s="2"/>
      <c r="B10" s="760" t="s">
        <v>677</v>
      </c>
      <c r="C10" s="758" t="s">
        <v>678</v>
      </c>
      <c r="D10" s="759"/>
      <c r="E10" s="759"/>
      <c r="F10" s="2"/>
      <c r="G10" s="2"/>
      <c r="H10" s="2"/>
      <c r="I10" s="2"/>
      <c r="J10" s="2"/>
      <c r="K10" s="2"/>
      <c r="L10" s="2"/>
      <c r="M10" s="2"/>
      <c r="N10" s="2"/>
      <c r="O10" s="2"/>
    </row>
    <row r="11" spans="1:15" ht="15" thickBot="1">
      <c r="A11" s="2"/>
      <c r="B11" s="761"/>
      <c r="C11" s="193" t="s">
        <v>679</v>
      </c>
      <c r="D11" s="193" t="s">
        <v>680</v>
      </c>
      <c r="E11" s="194" t="s">
        <v>628</v>
      </c>
      <c r="F11" s="2"/>
      <c r="G11" s="2"/>
      <c r="H11" s="2"/>
      <c r="I11" s="2"/>
      <c r="J11" s="2"/>
      <c r="K11" s="2"/>
      <c r="L11" s="2"/>
      <c r="M11" s="2"/>
      <c r="N11" s="2"/>
      <c r="O11" s="2"/>
    </row>
    <row r="12" spans="1:15" ht="15.6" thickBot="1">
      <c r="A12" s="2"/>
      <c r="B12" s="195" t="s">
        <v>681</v>
      </c>
      <c r="C12" s="188">
        <v>622786</v>
      </c>
      <c r="D12" s="188">
        <v>24473</v>
      </c>
      <c r="E12" s="189">
        <v>382524</v>
      </c>
      <c r="F12" s="2"/>
      <c r="G12" s="2"/>
      <c r="H12" s="2"/>
      <c r="I12" s="2"/>
      <c r="J12" s="2"/>
      <c r="K12" s="2"/>
      <c r="L12" s="2"/>
      <c r="M12" s="2"/>
      <c r="N12" s="2"/>
      <c r="O12" s="2"/>
    </row>
    <row r="13" spans="1:15" ht="15.6" thickBot="1">
      <c r="A13" s="2"/>
      <c r="B13" s="195" t="s">
        <v>682</v>
      </c>
      <c r="C13" s="188">
        <v>499526</v>
      </c>
      <c r="D13" s="188">
        <v>11296</v>
      </c>
      <c r="E13" s="189">
        <v>186037</v>
      </c>
      <c r="F13" s="2"/>
      <c r="G13" s="2"/>
      <c r="H13" s="2"/>
      <c r="I13" s="2"/>
      <c r="J13" s="2"/>
      <c r="K13" s="2"/>
      <c r="L13" s="2"/>
      <c r="M13" s="2"/>
      <c r="N13" s="2"/>
      <c r="O13" s="2"/>
    </row>
    <row r="14" spans="1:15" ht="15.6" thickBot="1">
      <c r="A14" s="2"/>
      <c r="B14" s="195" t="s">
        <v>683</v>
      </c>
      <c r="C14" s="188">
        <v>36491</v>
      </c>
      <c r="D14" s="188">
        <v>1433.9504147492075</v>
      </c>
      <c r="E14" s="189">
        <v>22413</v>
      </c>
      <c r="F14" s="2"/>
      <c r="G14" s="2"/>
      <c r="H14" s="2"/>
      <c r="I14" s="2"/>
      <c r="J14" s="2"/>
      <c r="K14" s="2"/>
      <c r="L14" s="2"/>
      <c r="M14" s="2"/>
      <c r="N14" s="2"/>
      <c r="O14" s="2"/>
    </row>
    <row r="15" spans="1:15" ht="15" thickBot="1">
      <c r="A15" s="2"/>
      <c r="B15" s="195" t="s">
        <v>575</v>
      </c>
      <c r="C15" s="188">
        <v>1433</v>
      </c>
      <c r="D15" s="188">
        <v>56.311171092477991</v>
      </c>
      <c r="E15" s="189">
        <v>880</v>
      </c>
      <c r="F15" s="2"/>
      <c r="G15" s="2"/>
      <c r="H15" s="2"/>
      <c r="I15" s="2"/>
      <c r="J15" s="2"/>
      <c r="K15" s="2"/>
      <c r="L15" s="2"/>
      <c r="M15" s="2"/>
      <c r="N15" s="2"/>
      <c r="O15" s="2"/>
    </row>
    <row r="16" spans="1:15" ht="15" thickBot="1">
      <c r="A16" s="2"/>
      <c r="B16" s="195" t="s">
        <v>570</v>
      </c>
      <c r="C16" s="190">
        <v>4.5199999999999996</v>
      </c>
      <c r="D16" s="190">
        <v>0.17761792975436183</v>
      </c>
      <c r="E16" s="191">
        <v>2.78</v>
      </c>
      <c r="F16" s="2"/>
      <c r="G16" s="2"/>
      <c r="H16" s="2"/>
      <c r="I16" s="2"/>
      <c r="J16" s="2"/>
      <c r="K16" s="2"/>
      <c r="L16" s="2"/>
      <c r="M16" s="2"/>
      <c r="N16" s="2"/>
      <c r="O16" s="2"/>
    </row>
    <row r="17" spans="1:15">
      <c r="A17" s="2"/>
      <c r="B17" s="2"/>
      <c r="C17" s="2"/>
      <c r="D17" s="2"/>
      <c r="E17" s="2"/>
      <c r="F17" s="2"/>
      <c r="G17" s="2"/>
      <c r="H17" s="2"/>
      <c r="I17" s="2"/>
      <c r="J17" s="2"/>
      <c r="K17" s="2"/>
      <c r="L17" s="2"/>
      <c r="M17" s="2"/>
      <c r="N17" s="2"/>
      <c r="O17" s="2"/>
    </row>
    <row r="18" spans="1:15">
      <c r="A18" s="2"/>
      <c r="B18" s="2"/>
      <c r="C18" s="114"/>
      <c r="D18" s="2"/>
      <c r="E18" s="2"/>
      <c r="F18" s="2"/>
      <c r="G18" s="2"/>
      <c r="H18" s="2"/>
      <c r="I18" s="2"/>
      <c r="J18" s="2"/>
      <c r="K18" s="2"/>
      <c r="L18" s="2"/>
      <c r="M18" s="2"/>
      <c r="N18" s="2"/>
      <c r="O18" s="2"/>
    </row>
    <row r="19" spans="1:15" ht="18.600000000000001">
      <c r="A19" s="184" t="s">
        <v>684</v>
      </c>
      <c r="B19" s="2"/>
      <c r="C19" s="2"/>
      <c r="D19" s="2"/>
      <c r="E19" s="2"/>
      <c r="F19" s="2"/>
      <c r="G19" s="2"/>
      <c r="H19" s="2"/>
      <c r="I19" s="2"/>
      <c r="J19" s="2"/>
      <c r="K19" s="2"/>
      <c r="L19" s="2"/>
      <c r="M19" s="2"/>
      <c r="N19" s="2"/>
      <c r="O19" s="2"/>
    </row>
    <row r="20" spans="1:15">
      <c r="A20" s="2" t="s">
        <v>685</v>
      </c>
      <c r="B20" s="2"/>
      <c r="C20" s="2"/>
      <c r="D20" s="447" t="s">
        <v>686</v>
      </c>
      <c r="E20" s="2"/>
      <c r="F20" s="2"/>
      <c r="G20" s="2"/>
      <c r="H20" s="2"/>
      <c r="I20" s="2"/>
      <c r="J20" s="2"/>
      <c r="K20" s="2"/>
      <c r="L20" s="2"/>
      <c r="M20" s="2"/>
      <c r="N20" s="2"/>
      <c r="O20" s="2"/>
    </row>
    <row r="21" spans="1:15" ht="15" thickBot="1">
      <c r="A21" s="2"/>
      <c r="B21" s="2"/>
      <c r="C21" s="2"/>
      <c r="D21" s="447"/>
      <c r="E21" s="2"/>
      <c r="F21" s="2"/>
      <c r="G21" s="2"/>
      <c r="H21" s="2"/>
      <c r="I21" s="2"/>
      <c r="J21" s="2"/>
      <c r="K21" s="2"/>
      <c r="L21" s="2"/>
      <c r="M21" s="2"/>
      <c r="N21" s="2"/>
      <c r="O21" s="2"/>
    </row>
    <row r="22" spans="1:15">
      <c r="A22" s="2"/>
      <c r="B22" s="754" t="s">
        <v>677</v>
      </c>
      <c r="C22" s="756" t="s">
        <v>687</v>
      </c>
      <c r="D22" s="757"/>
      <c r="E22" s="757"/>
      <c r="F22" s="197"/>
      <c r="G22" s="2"/>
      <c r="H22" s="2"/>
      <c r="I22" s="2"/>
      <c r="J22" s="2"/>
      <c r="K22" s="2"/>
      <c r="L22" s="2"/>
      <c r="M22" s="2"/>
      <c r="N22" s="2"/>
      <c r="O22" s="2"/>
    </row>
    <row r="23" spans="1:15" ht="15" thickBot="1">
      <c r="A23" s="2"/>
      <c r="B23" s="755"/>
      <c r="C23" s="198" t="s">
        <v>679</v>
      </c>
      <c r="D23" s="198" t="s">
        <v>680</v>
      </c>
      <c r="E23" s="199" t="s">
        <v>628</v>
      </c>
      <c r="F23" s="487" t="s">
        <v>688</v>
      </c>
      <c r="G23" s="2"/>
      <c r="H23" s="2"/>
      <c r="I23" s="2"/>
      <c r="J23" s="2"/>
      <c r="K23" s="2"/>
      <c r="L23" s="2"/>
      <c r="M23" s="2"/>
      <c r="N23" s="2"/>
      <c r="O23" s="2"/>
    </row>
    <row r="24" spans="1:15" ht="15.6" thickBot="1">
      <c r="A24" s="2"/>
      <c r="B24" s="195" t="s">
        <v>681</v>
      </c>
      <c r="C24" s="188">
        <v>2093295.0797045154</v>
      </c>
      <c r="D24" s="188">
        <v>81477.990382649252</v>
      </c>
      <c r="E24" s="189">
        <v>1285447.4815702473</v>
      </c>
      <c r="F24" s="488">
        <f>C24/C12</f>
        <v>3.361178767192126</v>
      </c>
      <c r="G24" s="358" t="s">
        <v>689</v>
      </c>
      <c r="H24" s="2"/>
      <c r="I24" s="2"/>
      <c r="J24" s="2"/>
      <c r="K24" s="2"/>
      <c r="L24" s="2"/>
      <c r="M24" s="2"/>
      <c r="N24" s="2"/>
      <c r="O24" s="2"/>
    </row>
    <row r="25" spans="1:15" ht="15.6" thickBot="1">
      <c r="A25" s="2"/>
      <c r="B25" s="195" t="s">
        <v>682</v>
      </c>
      <c r="C25" s="188">
        <v>1700385.7121121241</v>
      </c>
      <c r="D25" s="188">
        <v>38441.302809909226</v>
      </c>
      <c r="E25" s="189">
        <v>633264.13895499415</v>
      </c>
      <c r="F25" s="488">
        <f>C25/C13</f>
        <v>3.403998414721404</v>
      </c>
      <c r="G25" s="358" t="s">
        <v>690</v>
      </c>
      <c r="H25" s="2"/>
      <c r="I25" s="2"/>
      <c r="J25" s="2"/>
      <c r="K25" s="2"/>
      <c r="L25" s="2"/>
      <c r="M25" s="2"/>
      <c r="N25" s="2"/>
      <c r="O25" s="2"/>
    </row>
    <row r="26" spans="1:15" ht="15.6" thickBot="1">
      <c r="A26" s="2"/>
      <c r="B26" s="195" t="s">
        <v>683</v>
      </c>
      <c r="C26" s="188">
        <v>50649.507999999994</v>
      </c>
      <c r="D26" s="188">
        <v>1990.3231756718999</v>
      </c>
      <c r="E26" s="189">
        <v>31109.243999999999</v>
      </c>
      <c r="F26" s="489">
        <f>C26/C14</f>
        <v>1.3879999999999999</v>
      </c>
      <c r="G26" s="89" t="s">
        <v>691</v>
      </c>
      <c r="H26" s="2"/>
      <c r="I26" s="2"/>
      <c r="J26" s="2"/>
      <c r="K26" s="2"/>
      <c r="L26" s="2"/>
      <c r="M26" s="2"/>
      <c r="N26" s="2"/>
      <c r="O26" s="2"/>
    </row>
    <row r="27" spans="1:15" ht="15" thickBot="1">
      <c r="A27" s="2"/>
      <c r="B27" s="195" t="s">
        <v>575</v>
      </c>
      <c r="C27" s="188">
        <v>1989.0039999999999</v>
      </c>
      <c r="D27" s="188">
        <v>78.159905476359441</v>
      </c>
      <c r="E27" s="189">
        <v>1221.4399999999998</v>
      </c>
      <c r="F27" s="489">
        <f>C27/C15</f>
        <v>1.3879999999999999</v>
      </c>
      <c r="G27" s="89" t="s">
        <v>691</v>
      </c>
      <c r="H27" s="2"/>
      <c r="I27" s="2"/>
      <c r="J27" s="2"/>
      <c r="K27" s="2"/>
      <c r="L27" s="2"/>
      <c r="M27" s="2"/>
      <c r="N27" s="2"/>
      <c r="O27" s="2"/>
    </row>
    <row r="28" spans="1:15" ht="15" thickBot="1">
      <c r="A28" s="2"/>
      <c r="B28" s="195" t="s">
        <v>570</v>
      </c>
      <c r="C28" s="190">
        <v>6.2737599999999993</v>
      </c>
      <c r="D28" s="190">
        <v>0.24653368649905422</v>
      </c>
      <c r="E28" s="191">
        <v>3.8586399999999994</v>
      </c>
      <c r="F28" s="489">
        <f>C28/C16</f>
        <v>1.3879999999999999</v>
      </c>
      <c r="G28" s="89" t="s">
        <v>691</v>
      </c>
      <c r="H28" s="2"/>
      <c r="I28" s="2"/>
      <c r="J28" s="2"/>
      <c r="K28" s="2"/>
      <c r="L28" s="2"/>
      <c r="M28" s="2"/>
      <c r="N28" s="2"/>
      <c r="O28" s="2"/>
    </row>
    <row r="29" spans="1:15">
      <c r="A29" s="2"/>
      <c r="B29" s="2"/>
      <c r="G29" s="2"/>
      <c r="H29" s="2"/>
      <c r="I29" s="2"/>
      <c r="J29" s="2"/>
      <c r="K29" s="2"/>
      <c r="L29" s="2"/>
      <c r="M29" s="2"/>
      <c r="N29" s="2"/>
      <c r="O29" s="2"/>
    </row>
    <row r="30" spans="1:15">
      <c r="A30" s="2"/>
      <c r="B30" s="2"/>
      <c r="G30" s="196"/>
      <c r="H30" s="2"/>
      <c r="I30" s="2"/>
      <c r="J30" s="2"/>
      <c r="K30" s="2"/>
      <c r="L30" s="2"/>
      <c r="M30" s="2"/>
      <c r="N30" s="2"/>
      <c r="O30" s="2"/>
    </row>
    <row r="31" spans="1:15">
      <c r="A31" s="2" t="s">
        <v>692</v>
      </c>
      <c r="B31" s="2"/>
      <c r="G31" s="196"/>
      <c r="H31" s="2"/>
      <c r="I31" s="2"/>
      <c r="J31" s="2"/>
      <c r="K31" s="2"/>
      <c r="L31" s="2"/>
      <c r="M31" s="2"/>
      <c r="N31" s="2"/>
      <c r="O31" s="2"/>
    </row>
    <row r="32" spans="1:15" ht="15" thickBot="1">
      <c r="A32" s="2"/>
      <c r="B32" s="2"/>
      <c r="G32" s="196"/>
      <c r="H32" s="2"/>
      <c r="I32" s="2"/>
      <c r="J32" s="2"/>
      <c r="K32" s="2"/>
      <c r="L32" s="2"/>
      <c r="M32" s="2"/>
      <c r="N32" s="2"/>
      <c r="O32" s="2"/>
    </row>
    <row r="33" spans="1:15">
      <c r="A33" s="2"/>
      <c r="B33" s="754" t="s">
        <v>677</v>
      </c>
      <c r="C33" s="756" t="s">
        <v>693</v>
      </c>
      <c r="D33" s="757"/>
      <c r="E33" s="757"/>
      <c r="G33" s="196"/>
      <c r="H33" s="2"/>
      <c r="I33" s="2"/>
      <c r="J33" s="2"/>
      <c r="K33" s="2"/>
      <c r="L33" s="2"/>
      <c r="M33" s="2"/>
      <c r="N33" s="2"/>
      <c r="O33" s="2"/>
    </row>
    <row r="34" spans="1:15" ht="15" thickBot="1">
      <c r="A34" s="2"/>
      <c r="B34" s="755"/>
      <c r="C34" s="198" t="s">
        <v>679</v>
      </c>
      <c r="D34" s="198" t="s">
        <v>680</v>
      </c>
      <c r="E34" s="199" t="s">
        <v>628</v>
      </c>
      <c r="G34" s="196"/>
      <c r="H34" s="2"/>
      <c r="I34" s="2"/>
      <c r="J34" s="2"/>
      <c r="K34" s="2"/>
      <c r="L34" s="2"/>
      <c r="M34" s="2"/>
      <c r="N34" s="2"/>
      <c r="O34" s="2"/>
    </row>
    <row r="35" spans="1:15" ht="15.6" thickBot="1">
      <c r="A35" s="2"/>
      <c r="B35" s="195" t="s">
        <v>681</v>
      </c>
      <c r="C35" s="188">
        <v>2049641.7773216479</v>
      </c>
      <c r="D35" s="188">
        <v>79234.841653445663</v>
      </c>
      <c r="E35" s="189">
        <v>1258422.476732441</v>
      </c>
      <c r="G35" s="89" t="s">
        <v>694</v>
      </c>
      <c r="H35" s="2"/>
      <c r="I35" s="2"/>
      <c r="J35" s="2"/>
      <c r="K35" s="2"/>
      <c r="L35" s="2"/>
      <c r="M35" s="2"/>
      <c r="N35" s="2"/>
      <c r="O35" s="2"/>
    </row>
    <row r="36" spans="1:15" ht="15.6" thickBot="1">
      <c r="A36" s="2"/>
      <c r="B36" s="195" t="s">
        <v>682</v>
      </c>
      <c r="C36" s="188">
        <v>1679682.0825665982</v>
      </c>
      <c r="D36" s="188">
        <v>37966.448847668718</v>
      </c>
      <c r="E36" s="189">
        <v>625549.24880571628</v>
      </c>
      <c r="G36" s="89" t="s">
        <v>694</v>
      </c>
      <c r="H36" s="2"/>
      <c r="I36" s="2"/>
      <c r="J36" s="2"/>
      <c r="K36" s="2"/>
      <c r="L36" s="2"/>
      <c r="M36" s="2"/>
      <c r="N36" s="2"/>
      <c r="O36" s="2"/>
    </row>
    <row r="37" spans="1:15" ht="15.6" thickBot="1">
      <c r="B37" s="195" t="s">
        <v>683</v>
      </c>
      <c r="C37" s="188">
        <v>0</v>
      </c>
      <c r="D37" s="188">
        <v>0</v>
      </c>
      <c r="E37" s="189">
        <v>0</v>
      </c>
      <c r="G37" s="358" t="s">
        <v>695</v>
      </c>
    </row>
    <row r="38" spans="1:15" ht="15" thickBot="1">
      <c r="B38" s="195" t="s">
        <v>575</v>
      </c>
      <c r="C38" s="188">
        <v>0</v>
      </c>
      <c r="D38" s="188">
        <v>0</v>
      </c>
      <c r="E38" s="189">
        <v>0</v>
      </c>
      <c r="G38" s="358" t="s">
        <v>695</v>
      </c>
    </row>
    <row r="39" spans="1:15" ht="15" thickBot="1">
      <c r="B39" s="195" t="s">
        <v>570</v>
      </c>
      <c r="C39" s="190">
        <v>0</v>
      </c>
      <c r="D39" s="190">
        <v>0</v>
      </c>
      <c r="E39" s="191">
        <v>0</v>
      </c>
      <c r="G39" s="358" t="s">
        <v>695</v>
      </c>
    </row>
    <row r="41" spans="1:15" ht="15" thickBot="1"/>
    <row r="42" spans="1:15">
      <c r="B42" s="754" t="s">
        <v>677</v>
      </c>
      <c r="C42" s="756" t="s">
        <v>696</v>
      </c>
      <c r="D42" s="757"/>
      <c r="E42" s="757"/>
    </row>
    <row r="43" spans="1:15" ht="15" thickBot="1">
      <c r="B43" s="755"/>
      <c r="C43" s="198" t="s">
        <v>679</v>
      </c>
      <c r="D43" s="198" t="s">
        <v>680</v>
      </c>
      <c r="E43" s="199" t="s">
        <v>628</v>
      </c>
    </row>
    <row r="44" spans="1:15" ht="15.6" thickBot="1">
      <c r="B44" s="195" t="s">
        <v>681</v>
      </c>
      <c r="C44" s="188">
        <v>43653.31016417659</v>
      </c>
      <c r="D44" s="188">
        <v>2243.1487564447298</v>
      </c>
      <c r="E44" s="189">
        <v>27025.009505459766</v>
      </c>
      <c r="G44" s="89" t="s">
        <v>697</v>
      </c>
    </row>
    <row r="45" spans="1:15" ht="15.6" thickBot="1">
      <c r="B45" s="195" t="s">
        <v>682</v>
      </c>
      <c r="C45" s="188">
        <v>20703.629545524611</v>
      </c>
      <c r="D45" s="188">
        <v>474.85396224050515</v>
      </c>
      <c r="E45" s="189">
        <v>7714.8901492772811</v>
      </c>
      <c r="G45" s="89" t="s">
        <v>697</v>
      </c>
    </row>
    <row r="46" spans="1:15" ht="15.6" thickBot="1">
      <c r="B46" s="195" t="s">
        <v>683</v>
      </c>
      <c r="C46" s="188">
        <v>50649.507999999994</v>
      </c>
      <c r="D46" s="188">
        <v>1990.3231756718999</v>
      </c>
      <c r="E46" s="189">
        <v>31109.243999999999</v>
      </c>
      <c r="G46" s="358" t="s">
        <v>695</v>
      </c>
    </row>
    <row r="47" spans="1:15" ht="15" thickBot="1">
      <c r="B47" s="195" t="s">
        <v>575</v>
      </c>
      <c r="C47" s="188">
        <v>1989.0039999999999</v>
      </c>
      <c r="D47" s="188">
        <v>78.159905476359441</v>
      </c>
      <c r="E47" s="189">
        <v>1221.4399999999998</v>
      </c>
      <c r="G47" s="358" t="s">
        <v>695</v>
      </c>
    </row>
    <row r="48" spans="1:15" ht="15" thickBot="1">
      <c r="B48" s="195" t="s">
        <v>570</v>
      </c>
      <c r="C48" s="190">
        <v>6.2737599999999993</v>
      </c>
      <c r="D48" s="190">
        <v>0.24653368649905422</v>
      </c>
      <c r="E48" s="191">
        <v>3.8586399999999994</v>
      </c>
      <c r="G48" s="358" t="s">
        <v>695</v>
      </c>
    </row>
    <row r="49" spans="7:7">
      <c r="G49" s="448"/>
    </row>
  </sheetData>
  <mergeCells count="8">
    <mergeCell ref="B42:B43"/>
    <mergeCell ref="C42:E42"/>
    <mergeCell ref="C10:E10"/>
    <mergeCell ref="C22:E22"/>
    <mergeCell ref="B22:B23"/>
    <mergeCell ref="B10:B11"/>
    <mergeCell ref="B33:B34"/>
    <mergeCell ref="C33:E33"/>
  </mergeCells>
  <hyperlinks>
    <hyperlink ref="A4" location="Contents!A1" display="Back to Contents" xr:uid="{630EF66A-4CBB-4B11-8DB2-0A507A70DF1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AF2CD-E13E-40DB-9178-C75ECE0C361C}">
  <sheetPr>
    <tabColor theme="5" tint="0.79998168889431442"/>
    <pageSetUpPr fitToPage="1"/>
  </sheetPr>
  <dimension ref="A1:S78"/>
  <sheetViews>
    <sheetView workbookViewId="0">
      <selection activeCell="G22" sqref="G22"/>
    </sheetView>
  </sheetViews>
  <sheetFormatPr defaultRowHeight="14.45"/>
  <cols>
    <col min="1" max="1" width="11.140625" customWidth="1"/>
    <col min="2" max="2" width="38.42578125" customWidth="1"/>
    <col min="3" max="3" width="22" customWidth="1"/>
    <col min="4" max="6" width="19.140625" customWidth="1"/>
    <col min="7" max="7" width="52.140625" bestFit="1" customWidth="1"/>
    <col min="8" max="14" width="16.42578125" customWidth="1"/>
  </cols>
  <sheetData>
    <row r="1" spans="1:19" ht="18.600000000000001">
      <c r="A1" s="263" t="s">
        <v>698</v>
      </c>
      <c r="B1" s="263"/>
      <c r="C1" s="263"/>
      <c r="D1" s="263"/>
      <c r="E1" s="263"/>
      <c r="F1" s="263"/>
      <c r="G1" s="263"/>
      <c r="H1" s="340"/>
      <c r="I1" s="340"/>
      <c r="J1" s="340"/>
      <c r="K1" s="340"/>
    </row>
    <row r="2" spans="1:19">
      <c r="A2" s="4" t="s">
        <v>699</v>
      </c>
      <c r="B2" s="4"/>
      <c r="C2" s="4"/>
      <c r="G2" s="366"/>
    </row>
    <row r="3" spans="1:19">
      <c r="A3" s="438" t="s">
        <v>700</v>
      </c>
      <c r="B3" s="5"/>
      <c r="C3" s="5"/>
      <c r="G3" s="369"/>
    </row>
    <row r="4" spans="1:19">
      <c r="A4" s="380" t="s">
        <v>59</v>
      </c>
      <c r="Q4" s="9"/>
      <c r="R4" s="9"/>
      <c r="S4" s="9"/>
    </row>
    <row r="5" spans="1:19">
      <c r="A5" s="38"/>
      <c r="Q5" s="9"/>
      <c r="R5" s="9"/>
      <c r="S5" s="9"/>
    </row>
    <row r="6" spans="1:19">
      <c r="B6" s="275"/>
      <c r="C6" s="277"/>
      <c r="D6" s="276"/>
      <c r="E6" s="269" t="s">
        <v>701</v>
      </c>
      <c r="F6" s="276"/>
      <c r="G6" s="276"/>
    </row>
    <row r="7" spans="1:19" ht="16.5">
      <c r="B7" s="221" t="s">
        <v>131</v>
      </c>
      <c r="C7" s="278"/>
      <c r="D7" s="270"/>
      <c r="E7" s="274" t="s">
        <v>702</v>
      </c>
      <c r="F7" s="271"/>
      <c r="G7" s="278"/>
    </row>
    <row r="8" spans="1:19">
      <c r="B8" s="268"/>
      <c r="C8" s="279"/>
      <c r="D8" s="272">
        <f>'Damage costs'!E35</f>
        <v>1258422.476732441</v>
      </c>
      <c r="E8" s="267">
        <f>'Damage costs'!E44</f>
        <v>27025.009505459766</v>
      </c>
      <c r="F8" s="273">
        <f>'Damage costs'!E24</f>
        <v>1285447.4815702473</v>
      </c>
      <c r="G8" s="278"/>
    </row>
    <row r="9" spans="1:19" ht="15">
      <c r="B9" s="15" t="s">
        <v>107</v>
      </c>
      <c r="C9" s="14" t="s">
        <v>703</v>
      </c>
      <c r="D9" s="14" t="s">
        <v>704</v>
      </c>
      <c r="E9" s="14" t="s">
        <v>705</v>
      </c>
      <c r="F9" s="14" t="s">
        <v>706</v>
      </c>
      <c r="G9" s="266" t="s">
        <v>206</v>
      </c>
    </row>
    <row r="10" spans="1:19" ht="15">
      <c r="B10" s="37" t="s">
        <v>64</v>
      </c>
      <c r="C10" s="265">
        <v>0</v>
      </c>
      <c r="D10" s="287">
        <f>$C10*D$8/10^3</f>
        <v>0</v>
      </c>
      <c r="E10" s="287">
        <f t="shared" ref="E10:F10" si="0">$C10*E$8/10^3</f>
        <v>0</v>
      </c>
      <c r="F10" s="287">
        <f t="shared" si="0"/>
        <v>0</v>
      </c>
      <c r="G10" s="286" t="s">
        <v>707</v>
      </c>
    </row>
    <row r="11" spans="1:19" ht="15">
      <c r="B11" s="37" t="s">
        <v>65</v>
      </c>
      <c r="C11" s="265">
        <v>0</v>
      </c>
      <c r="D11" s="287">
        <f t="shared" ref="D11:F17" si="1">$C11*D$8/10^3</f>
        <v>0</v>
      </c>
      <c r="E11" s="287">
        <f t="shared" si="1"/>
        <v>0</v>
      </c>
      <c r="F11" s="287">
        <f t="shared" si="1"/>
        <v>0</v>
      </c>
      <c r="G11" s="286" t="s">
        <v>708</v>
      </c>
    </row>
    <row r="12" spans="1:19">
      <c r="B12" s="37" t="s">
        <v>66</v>
      </c>
      <c r="C12" s="331">
        <f>'Fuel use'!H39</f>
        <v>20.810362166822088</v>
      </c>
      <c r="D12" s="287">
        <f t="shared" si="1"/>
        <v>26188.227499671339</v>
      </c>
      <c r="E12" s="287">
        <f t="shared" si="1"/>
        <v>562.40023537042725</v>
      </c>
      <c r="F12" s="287">
        <f t="shared" si="1"/>
        <v>26750.627637906207</v>
      </c>
      <c r="G12" s="86" t="s">
        <v>709</v>
      </c>
    </row>
    <row r="13" spans="1:19">
      <c r="B13" s="37" t="s">
        <v>67</v>
      </c>
      <c r="C13" s="331">
        <f>'Fuel use'!H40</f>
        <v>13.200324856863491</v>
      </c>
      <c r="D13" s="287">
        <f t="shared" si="1"/>
        <v>16611.58550004696</v>
      </c>
      <c r="E13" s="287">
        <f t="shared" si="1"/>
        <v>356.7389047318926</v>
      </c>
      <c r="F13" s="287">
        <f t="shared" si="1"/>
        <v>16968.32434316431</v>
      </c>
      <c r="G13" s="86" t="s">
        <v>710</v>
      </c>
    </row>
    <row r="14" spans="1:19">
      <c r="B14" s="37" t="s">
        <v>68</v>
      </c>
      <c r="C14" s="331">
        <f>'Fuel use'!H41</f>
        <v>9.600236259537084</v>
      </c>
      <c r="D14" s="287">
        <f t="shared" si="1"/>
        <v>12081.153090943244</v>
      </c>
      <c r="E14" s="287">
        <f t="shared" si="1"/>
        <v>259.44647616864921</v>
      </c>
      <c r="F14" s="287">
        <f t="shared" si="1"/>
        <v>12340.599522301316</v>
      </c>
      <c r="G14" s="86" t="s">
        <v>709</v>
      </c>
    </row>
    <row r="15" spans="1:19">
      <c r="B15" s="37" t="s">
        <v>69</v>
      </c>
      <c r="C15" s="331">
        <f>'Fuel use'!H42</f>
        <v>2.4742876957569804</v>
      </c>
      <c r="D15" s="287">
        <f t="shared" si="1"/>
        <v>3113.6992502431035</v>
      </c>
      <c r="E15" s="287">
        <f t="shared" si="1"/>
        <v>66.867648497074541</v>
      </c>
      <c r="F15" s="287">
        <f t="shared" si="1"/>
        <v>3180.5668871910611</v>
      </c>
      <c r="G15" s="86" t="s">
        <v>709</v>
      </c>
    </row>
    <row r="16" spans="1:19">
      <c r="B16" s="37" t="s">
        <v>70</v>
      </c>
      <c r="C16" s="331">
        <f>'Fuel use'!H43</f>
        <v>2.0482447513122382</v>
      </c>
      <c r="D16" s="287">
        <f t="shared" si="1"/>
        <v>2577.557232900569</v>
      </c>
      <c r="E16" s="287">
        <f t="shared" si="1"/>
        <v>55.353833873721314</v>
      </c>
      <c r="F16" s="287">
        <f t="shared" si="1"/>
        <v>2632.9110572137938</v>
      </c>
      <c r="G16" s="86" t="s">
        <v>709</v>
      </c>
    </row>
    <row r="17" spans="1:7" ht="15">
      <c r="B17" s="50" t="s">
        <v>71</v>
      </c>
      <c r="C17" s="122">
        <v>0</v>
      </c>
      <c r="D17" s="288">
        <f t="shared" si="1"/>
        <v>0</v>
      </c>
      <c r="E17" s="288">
        <f t="shared" si="1"/>
        <v>0</v>
      </c>
      <c r="F17" s="288">
        <f t="shared" si="1"/>
        <v>0</v>
      </c>
      <c r="G17" s="289" t="s">
        <v>707</v>
      </c>
    </row>
    <row r="18" spans="1:7" ht="16.5">
      <c r="B18" s="114"/>
      <c r="C18" s="251"/>
      <c r="D18" s="280"/>
      <c r="E18" s="281" t="s">
        <v>711</v>
      </c>
      <c r="F18" s="282"/>
      <c r="G18" s="132"/>
    </row>
    <row r="19" spans="1:7">
      <c r="B19" s="114"/>
      <c r="C19" s="251"/>
      <c r="D19" s="283">
        <f>'Damage costs'!E36</f>
        <v>625549.24880571628</v>
      </c>
      <c r="E19" s="284">
        <f>'Damage costs'!E45</f>
        <v>7714.8901492772811</v>
      </c>
      <c r="F19" s="285">
        <f>'Damage costs'!E25</f>
        <v>633264.13895499415</v>
      </c>
      <c r="G19" s="132"/>
    </row>
    <row r="20" spans="1:7" ht="15">
      <c r="A20" s="264" t="s">
        <v>712</v>
      </c>
      <c r="B20" s="26" t="s">
        <v>713</v>
      </c>
      <c r="C20" s="13" t="s">
        <v>703</v>
      </c>
      <c r="D20" s="14" t="s">
        <v>704</v>
      </c>
      <c r="E20" s="14" t="s">
        <v>705</v>
      </c>
      <c r="F20" s="14" t="s">
        <v>706</v>
      </c>
      <c r="G20" s="13" t="s">
        <v>206</v>
      </c>
    </row>
    <row r="21" spans="1:7" ht="15">
      <c r="B21" s="37" t="s">
        <v>64</v>
      </c>
      <c r="C21" s="78">
        <v>0</v>
      </c>
      <c r="D21" s="290">
        <f>$C21*D$19/10^3</f>
        <v>0</v>
      </c>
      <c r="E21" s="290">
        <f t="shared" ref="E21:F28" si="2">$C21*E$19/10^3</f>
        <v>0</v>
      </c>
      <c r="F21" s="290">
        <f t="shared" si="2"/>
        <v>0</v>
      </c>
      <c r="G21" s="286" t="s">
        <v>714</v>
      </c>
    </row>
    <row r="22" spans="1:7" ht="15">
      <c r="B22" s="37" t="s">
        <v>65</v>
      </c>
      <c r="C22" s="78">
        <v>0</v>
      </c>
      <c r="D22" s="290">
        <f t="shared" ref="D22:D28" si="3">$C22*D$19/10^3</f>
        <v>0</v>
      </c>
      <c r="E22" s="290">
        <f t="shared" si="2"/>
        <v>0</v>
      </c>
      <c r="F22" s="290">
        <f t="shared" si="2"/>
        <v>0</v>
      </c>
      <c r="G22" s="86" t="s">
        <v>715</v>
      </c>
    </row>
    <row r="23" spans="1:7" ht="15">
      <c r="B23" s="37" t="s">
        <v>66</v>
      </c>
      <c r="C23" s="78">
        <v>0</v>
      </c>
      <c r="D23" s="290">
        <f t="shared" si="3"/>
        <v>0</v>
      </c>
      <c r="E23" s="290">
        <f t="shared" si="2"/>
        <v>0</v>
      </c>
      <c r="F23" s="290">
        <f t="shared" si="2"/>
        <v>0</v>
      </c>
      <c r="G23" s="286" t="s">
        <v>716</v>
      </c>
    </row>
    <row r="24" spans="1:7" ht="15">
      <c r="B24" s="37" t="s">
        <v>67</v>
      </c>
      <c r="C24" s="78">
        <v>0</v>
      </c>
      <c r="D24" s="290">
        <f t="shared" si="3"/>
        <v>0</v>
      </c>
      <c r="E24" s="290">
        <f t="shared" si="2"/>
        <v>0</v>
      </c>
      <c r="F24" s="290">
        <f t="shared" si="2"/>
        <v>0</v>
      </c>
      <c r="G24" s="286" t="s">
        <v>716</v>
      </c>
    </row>
    <row r="25" spans="1:7" ht="15">
      <c r="B25" s="37" t="s">
        <v>68</v>
      </c>
      <c r="C25" s="78">
        <v>0</v>
      </c>
      <c r="D25" s="290">
        <f t="shared" si="3"/>
        <v>0</v>
      </c>
      <c r="E25" s="290">
        <f t="shared" si="2"/>
        <v>0</v>
      </c>
      <c r="F25" s="290">
        <f t="shared" si="2"/>
        <v>0</v>
      </c>
      <c r="G25" s="286" t="s">
        <v>716</v>
      </c>
    </row>
    <row r="26" spans="1:7" ht="15">
      <c r="B26" s="37" t="s">
        <v>69</v>
      </c>
      <c r="C26" s="78">
        <v>0</v>
      </c>
      <c r="D26" s="290">
        <f t="shared" si="3"/>
        <v>0</v>
      </c>
      <c r="E26" s="290">
        <f t="shared" si="2"/>
        <v>0</v>
      </c>
      <c r="F26" s="290">
        <f t="shared" si="2"/>
        <v>0</v>
      </c>
      <c r="G26" s="286" t="s">
        <v>716</v>
      </c>
    </row>
    <row r="27" spans="1:7" ht="15">
      <c r="B27" s="37" t="s">
        <v>70</v>
      </c>
      <c r="C27" s="78">
        <v>0</v>
      </c>
      <c r="D27" s="290">
        <f t="shared" si="3"/>
        <v>0</v>
      </c>
      <c r="E27" s="290">
        <f t="shared" si="2"/>
        <v>0</v>
      </c>
      <c r="F27" s="290">
        <f t="shared" si="2"/>
        <v>0</v>
      </c>
      <c r="G27" s="286" t="s">
        <v>716</v>
      </c>
    </row>
    <row r="28" spans="1:7" ht="15">
      <c r="B28" s="50" t="s">
        <v>71</v>
      </c>
      <c r="C28" s="113">
        <v>0</v>
      </c>
      <c r="D28" s="309">
        <f t="shared" si="3"/>
        <v>0</v>
      </c>
      <c r="E28" s="309">
        <f t="shared" si="2"/>
        <v>0</v>
      </c>
      <c r="F28" s="309">
        <f t="shared" si="2"/>
        <v>0</v>
      </c>
      <c r="G28" s="88" t="s">
        <v>717</v>
      </c>
    </row>
    <row r="29" spans="1:7">
      <c r="B29" s="114"/>
      <c r="C29" s="252"/>
      <c r="D29" s="339"/>
      <c r="E29" s="339"/>
      <c r="F29" s="339"/>
      <c r="G29" s="151"/>
    </row>
    <row r="31" spans="1:7">
      <c r="B31" s="275"/>
      <c r="C31" s="277"/>
      <c r="D31" s="276"/>
      <c r="E31" s="269" t="s">
        <v>718</v>
      </c>
      <c r="F31" s="276"/>
      <c r="G31" s="276"/>
    </row>
    <row r="32" spans="1:7" ht="16.5">
      <c r="B32" s="221" t="s">
        <v>131</v>
      </c>
      <c r="C32" s="278"/>
      <c r="D32" s="270"/>
      <c r="E32" s="274" t="s">
        <v>702</v>
      </c>
      <c r="F32" s="271"/>
      <c r="G32" s="278"/>
    </row>
    <row r="33" spans="1:7">
      <c r="B33" s="268"/>
      <c r="C33" s="279"/>
      <c r="D33" s="272">
        <f>'Damage costs'!D35</f>
        <v>79234.841653445663</v>
      </c>
      <c r="E33" s="267">
        <f>'Damage costs'!D44</f>
        <v>2243.1487564447298</v>
      </c>
      <c r="F33" s="273">
        <f>'Damage costs'!D24</f>
        <v>81477.990382649252</v>
      </c>
      <c r="G33" s="278"/>
    </row>
    <row r="34" spans="1:7" ht="15">
      <c r="B34" s="15" t="s">
        <v>107</v>
      </c>
      <c r="C34" s="14" t="s">
        <v>703</v>
      </c>
      <c r="D34" s="14" t="s">
        <v>719</v>
      </c>
      <c r="E34" s="14" t="s">
        <v>720</v>
      </c>
      <c r="F34" s="14" t="s">
        <v>721</v>
      </c>
      <c r="G34" s="266" t="s">
        <v>206</v>
      </c>
    </row>
    <row r="35" spans="1:7" ht="15">
      <c r="B35" s="37" t="s">
        <v>64</v>
      </c>
      <c r="C35" s="265">
        <f>C10</f>
        <v>0</v>
      </c>
      <c r="D35" s="287">
        <f>$C35*D$33/10^3</f>
        <v>0</v>
      </c>
      <c r="E35" s="287">
        <f t="shared" ref="E35:F42" si="4">$C35*E$33/10^3</f>
        <v>0</v>
      </c>
      <c r="F35" s="287">
        <f t="shared" si="4"/>
        <v>0</v>
      </c>
      <c r="G35" s="286" t="s">
        <v>707</v>
      </c>
    </row>
    <row r="36" spans="1:7" ht="15">
      <c r="B36" s="37" t="s">
        <v>65</v>
      </c>
      <c r="C36" s="265">
        <f t="shared" ref="C36:C42" si="5">C11</f>
        <v>0</v>
      </c>
      <c r="D36" s="287">
        <f t="shared" ref="D36:D42" si="6">$C36*D$33/10^3</f>
        <v>0</v>
      </c>
      <c r="E36" s="287">
        <f t="shared" si="4"/>
        <v>0</v>
      </c>
      <c r="F36" s="287">
        <f t="shared" si="4"/>
        <v>0</v>
      </c>
      <c r="G36" s="286" t="s">
        <v>708</v>
      </c>
    </row>
    <row r="37" spans="1:7">
      <c r="B37" s="37" t="s">
        <v>66</v>
      </c>
      <c r="C37" s="331">
        <f t="shared" si="5"/>
        <v>20.810362166822088</v>
      </c>
      <c r="D37" s="287">
        <f t="shared" si="6"/>
        <v>1648.9057510390044</v>
      </c>
      <c r="E37" s="287">
        <f t="shared" si="4"/>
        <v>46.680738015671423</v>
      </c>
      <c r="F37" s="287">
        <f t="shared" si="4"/>
        <v>1695.5864884877781</v>
      </c>
      <c r="G37" s="86" t="s">
        <v>709</v>
      </c>
    </row>
    <row r="38" spans="1:7">
      <c r="B38" s="37" t="s">
        <v>67</v>
      </c>
      <c r="C38" s="331">
        <f t="shared" si="5"/>
        <v>13.200324856863491</v>
      </c>
      <c r="D38" s="287">
        <f t="shared" si="6"/>
        <v>1045.9256498076215</v>
      </c>
      <c r="E38" s="287">
        <f t="shared" si="4"/>
        <v>29.610292287339796</v>
      </c>
      <c r="F38" s="287">
        <f t="shared" si="4"/>
        <v>1075.5359417353693</v>
      </c>
      <c r="G38" s="86" t="s">
        <v>710</v>
      </c>
    </row>
    <row r="39" spans="1:7">
      <c r="B39" s="37" t="s">
        <v>68</v>
      </c>
      <c r="C39" s="331">
        <f t="shared" si="5"/>
        <v>9.600236259537084</v>
      </c>
      <c r="D39" s="287">
        <f t="shared" si="6"/>
        <v>760.67319986008829</v>
      </c>
      <c r="E39" s="287">
        <f t="shared" si="4"/>
        <v>21.534758027156215</v>
      </c>
      <c r="F39" s="287">
        <f t="shared" si="4"/>
        <v>782.20795762572322</v>
      </c>
      <c r="G39" s="86" t="s">
        <v>709</v>
      </c>
    </row>
    <row r="40" spans="1:7">
      <c r="B40" s="37" t="s">
        <v>69</v>
      </c>
      <c r="C40" s="331">
        <f t="shared" si="5"/>
        <v>2.4742876957569804</v>
      </c>
      <c r="D40" s="287">
        <f t="shared" si="6"/>
        <v>196.04979377837327</v>
      </c>
      <c r="E40" s="287">
        <f t="shared" si="4"/>
        <v>5.5501953678237657</v>
      </c>
      <c r="F40" s="287">
        <f t="shared" si="4"/>
        <v>201.59998907879464</v>
      </c>
      <c r="G40" s="86" t="s">
        <v>709</v>
      </c>
    </row>
    <row r="41" spans="1:7">
      <c r="B41" s="37" t="s">
        <v>70</v>
      </c>
      <c r="C41" s="331">
        <f t="shared" si="5"/>
        <v>2.0482447513122382</v>
      </c>
      <c r="D41" s="287">
        <f t="shared" si="6"/>
        <v>162.29234853772638</v>
      </c>
      <c r="E41" s="287">
        <f t="shared" si="4"/>
        <v>4.5945176668004919</v>
      </c>
      <c r="F41" s="287">
        <f t="shared" si="4"/>
        <v>166.88686614873035</v>
      </c>
      <c r="G41" s="86" t="s">
        <v>709</v>
      </c>
    </row>
    <row r="42" spans="1:7" ht="15">
      <c r="B42" s="50" t="s">
        <v>71</v>
      </c>
      <c r="C42" s="122">
        <f t="shared" si="5"/>
        <v>0</v>
      </c>
      <c r="D42" s="288">
        <f t="shared" si="6"/>
        <v>0</v>
      </c>
      <c r="E42" s="288">
        <f t="shared" si="4"/>
        <v>0</v>
      </c>
      <c r="F42" s="288">
        <f t="shared" si="4"/>
        <v>0</v>
      </c>
      <c r="G42" s="289" t="s">
        <v>707</v>
      </c>
    </row>
    <row r="43" spans="1:7" ht="16.5">
      <c r="B43" s="114"/>
      <c r="C43" s="251"/>
      <c r="D43" s="280"/>
      <c r="E43" s="281" t="s">
        <v>711</v>
      </c>
      <c r="F43" s="282"/>
      <c r="G43" s="132"/>
    </row>
    <row r="44" spans="1:7">
      <c r="B44" s="114"/>
      <c r="C44" s="251"/>
      <c r="D44" s="283">
        <f>'Damage costs'!D36</f>
        <v>37966.448847668718</v>
      </c>
      <c r="E44" s="284">
        <f>'Damage costs'!D45</f>
        <v>474.85396224050515</v>
      </c>
      <c r="F44" s="285">
        <f>'Damage costs'!D25</f>
        <v>38441.302809909226</v>
      </c>
      <c r="G44" s="132"/>
    </row>
    <row r="45" spans="1:7" ht="15">
      <c r="A45" s="264" t="s">
        <v>712</v>
      </c>
      <c r="B45" s="26" t="s">
        <v>713</v>
      </c>
      <c r="C45" s="13" t="s">
        <v>703</v>
      </c>
      <c r="D45" s="14" t="s">
        <v>719</v>
      </c>
      <c r="E45" s="14" t="s">
        <v>720</v>
      </c>
      <c r="F45" s="14" t="s">
        <v>721</v>
      </c>
      <c r="G45" s="13" t="s">
        <v>206</v>
      </c>
    </row>
    <row r="46" spans="1:7" ht="15">
      <c r="B46" s="37" t="s">
        <v>64</v>
      </c>
      <c r="C46" s="78">
        <f>C21</f>
        <v>0</v>
      </c>
      <c r="D46" s="290">
        <f>$C46*D$44/10^3</f>
        <v>0</v>
      </c>
      <c r="E46" s="290">
        <f t="shared" ref="E46:F53" si="7">$C46*E$44/10^3</f>
        <v>0</v>
      </c>
      <c r="F46" s="290">
        <f t="shared" si="7"/>
        <v>0</v>
      </c>
      <c r="G46" s="286" t="s">
        <v>714</v>
      </c>
    </row>
    <row r="47" spans="1:7" ht="15">
      <c r="B47" s="37" t="s">
        <v>65</v>
      </c>
      <c r="C47" s="78">
        <f t="shared" ref="C47:C53" si="8">C22</f>
        <v>0</v>
      </c>
      <c r="D47" s="290">
        <f t="shared" ref="D47:D53" si="9">$C47*D$44/10^3</f>
        <v>0</v>
      </c>
      <c r="E47" s="290">
        <f t="shared" si="7"/>
        <v>0</v>
      </c>
      <c r="F47" s="290">
        <f t="shared" si="7"/>
        <v>0</v>
      </c>
      <c r="G47" s="86" t="s">
        <v>715</v>
      </c>
    </row>
    <row r="48" spans="1:7" ht="15">
      <c r="B48" s="37" t="s">
        <v>66</v>
      </c>
      <c r="C48" s="78">
        <f t="shared" si="8"/>
        <v>0</v>
      </c>
      <c r="D48" s="290">
        <f t="shared" si="9"/>
        <v>0</v>
      </c>
      <c r="E48" s="290">
        <f t="shared" si="7"/>
        <v>0</v>
      </c>
      <c r="F48" s="290">
        <f t="shared" si="7"/>
        <v>0</v>
      </c>
      <c r="G48" s="286" t="s">
        <v>716</v>
      </c>
    </row>
    <row r="49" spans="2:7" ht="15">
      <c r="B49" s="37" t="s">
        <v>67</v>
      </c>
      <c r="C49" s="78">
        <f t="shared" si="8"/>
        <v>0</v>
      </c>
      <c r="D49" s="290">
        <f t="shared" si="9"/>
        <v>0</v>
      </c>
      <c r="E49" s="290">
        <f t="shared" si="7"/>
        <v>0</v>
      </c>
      <c r="F49" s="290">
        <f t="shared" si="7"/>
        <v>0</v>
      </c>
      <c r="G49" s="286" t="s">
        <v>716</v>
      </c>
    </row>
    <row r="50" spans="2:7" ht="15">
      <c r="B50" s="37" t="s">
        <v>68</v>
      </c>
      <c r="C50" s="78">
        <f t="shared" si="8"/>
        <v>0</v>
      </c>
      <c r="D50" s="290">
        <f t="shared" si="9"/>
        <v>0</v>
      </c>
      <c r="E50" s="290">
        <f t="shared" si="7"/>
        <v>0</v>
      </c>
      <c r="F50" s="290">
        <f t="shared" si="7"/>
        <v>0</v>
      </c>
      <c r="G50" s="286" t="s">
        <v>716</v>
      </c>
    </row>
    <row r="51" spans="2:7" ht="15">
      <c r="B51" s="37" t="s">
        <v>69</v>
      </c>
      <c r="C51" s="78">
        <f t="shared" si="8"/>
        <v>0</v>
      </c>
      <c r="D51" s="290">
        <f t="shared" si="9"/>
        <v>0</v>
      </c>
      <c r="E51" s="290">
        <f t="shared" si="7"/>
        <v>0</v>
      </c>
      <c r="F51" s="290">
        <f t="shared" si="7"/>
        <v>0</v>
      </c>
      <c r="G51" s="286" t="s">
        <v>716</v>
      </c>
    </row>
    <row r="52" spans="2:7" ht="15">
      <c r="B52" s="37" t="s">
        <v>70</v>
      </c>
      <c r="C52" s="78">
        <f t="shared" si="8"/>
        <v>0</v>
      </c>
      <c r="D52" s="290">
        <f t="shared" si="9"/>
        <v>0</v>
      </c>
      <c r="E52" s="290">
        <f t="shared" si="7"/>
        <v>0</v>
      </c>
      <c r="F52" s="290">
        <f t="shared" si="7"/>
        <v>0</v>
      </c>
      <c r="G52" s="286" t="s">
        <v>716</v>
      </c>
    </row>
    <row r="53" spans="2:7" ht="15">
      <c r="B53" s="50" t="s">
        <v>71</v>
      </c>
      <c r="C53" s="113">
        <f t="shared" si="8"/>
        <v>0</v>
      </c>
      <c r="D53" s="309">
        <f t="shared" si="9"/>
        <v>0</v>
      </c>
      <c r="E53" s="309">
        <f t="shared" si="7"/>
        <v>0</v>
      </c>
      <c r="F53" s="309">
        <f t="shared" si="7"/>
        <v>0</v>
      </c>
      <c r="G53" s="88" t="s">
        <v>717</v>
      </c>
    </row>
    <row r="56" spans="2:7">
      <c r="B56" s="275"/>
      <c r="C56" s="277"/>
      <c r="D56" s="276"/>
      <c r="E56" s="269" t="s">
        <v>722</v>
      </c>
      <c r="F56" s="276"/>
      <c r="G56" s="276"/>
    </row>
    <row r="57" spans="2:7" ht="16.5">
      <c r="B57" s="221" t="s">
        <v>131</v>
      </c>
      <c r="C57" s="278"/>
      <c r="D57" s="270"/>
      <c r="E57" s="274" t="s">
        <v>702</v>
      </c>
      <c r="F57" s="271"/>
      <c r="G57" s="278"/>
    </row>
    <row r="58" spans="2:7">
      <c r="B58" s="268"/>
      <c r="C58" s="279"/>
      <c r="D58" s="272">
        <f>'Damage costs'!C35</f>
        <v>2049641.7773216479</v>
      </c>
      <c r="E58" s="267">
        <f>'Damage costs'!C44</f>
        <v>43653.31016417659</v>
      </c>
      <c r="F58" s="273">
        <f>'Damage costs'!C24</f>
        <v>2093295.0797045154</v>
      </c>
      <c r="G58" s="278"/>
    </row>
    <row r="59" spans="2:7" ht="15">
      <c r="B59" s="15" t="s">
        <v>107</v>
      </c>
      <c r="C59" s="14" t="s">
        <v>703</v>
      </c>
      <c r="D59" s="14" t="s">
        <v>723</v>
      </c>
      <c r="E59" s="14" t="s">
        <v>724</v>
      </c>
      <c r="F59" s="14" t="s">
        <v>725</v>
      </c>
      <c r="G59" s="266" t="s">
        <v>206</v>
      </c>
    </row>
    <row r="60" spans="2:7" ht="15">
      <c r="B60" s="37" t="s">
        <v>64</v>
      </c>
      <c r="C60" s="265">
        <f>C10</f>
        <v>0</v>
      </c>
      <c r="D60" s="287">
        <f>$C60*D$58/10^3</f>
        <v>0</v>
      </c>
      <c r="E60" s="287">
        <f t="shared" ref="E60:F67" si="10">$C60*E$58/10^3</f>
        <v>0</v>
      </c>
      <c r="F60" s="287">
        <f t="shared" si="10"/>
        <v>0</v>
      </c>
      <c r="G60" s="286" t="s">
        <v>707</v>
      </c>
    </row>
    <row r="61" spans="2:7" ht="15">
      <c r="B61" s="37" t="s">
        <v>65</v>
      </c>
      <c r="C61" s="265">
        <f t="shared" ref="C61:C67" si="11">C11</f>
        <v>0</v>
      </c>
      <c r="D61" s="287">
        <f t="shared" ref="D61:D67" si="12">$C61*D$58/10^3</f>
        <v>0</v>
      </c>
      <c r="E61" s="287">
        <f t="shared" si="10"/>
        <v>0</v>
      </c>
      <c r="F61" s="287">
        <f t="shared" si="10"/>
        <v>0</v>
      </c>
      <c r="G61" s="286" t="s">
        <v>708</v>
      </c>
    </row>
    <row r="62" spans="2:7">
      <c r="B62" s="37" t="s">
        <v>66</v>
      </c>
      <c r="C62" s="331">
        <f t="shared" si="11"/>
        <v>20.810362166822088</v>
      </c>
      <c r="D62" s="287">
        <f t="shared" si="12"/>
        <v>42653.787698312401</v>
      </c>
      <c r="E62" s="287">
        <f t="shared" si="10"/>
        <v>908.44119429713055</v>
      </c>
      <c r="F62" s="287">
        <f t="shared" si="10"/>
        <v>43562.228730677671</v>
      </c>
      <c r="G62" s="86" t="s">
        <v>709</v>
      </c>
    </row>
    <row r="63" spans="2:7">
      <c r="B63" s="37" t="s">
        <v>67</v>
      </c>
      <c r="C63" s="331">
        <f t="shared" si="11"/>
        <v>13.200324856863491</v>
      </c>
      <c r="D63" s="287">
        <f t="shared" si="12"/>
        <v>27055.937300844809</v>
      </c>
      <c r="E63" s="287">
        <f t="shared" si="10"/>
        <v>576.2378752445519</v>
      </c>
      <c r="F63" s="287">
        <f t="shared" si="10"/>
        <v>27632.175073373557</v>
      </c>
      <c r="G63" s="86" t="s">
        <v>710</v>
      </c>
    </row>
    <row r="64" spans="2:7">
      <c r="B64" s="37" t="s">
        <v>68</v>
      </c>
      <c r="C64" s="331">
        <f t="shared" si="11"/>
        <v>9.600236259537084</v>
      </c>
      <c r="D64" s="287">
        <f t="shared" si="12"/>
        <v>19677.045309705318</v>
      </c>
      <c r="E64" s="287">
        <f t="shared" si="10"/>
        <v>419.08209108694683</v>
      </c>
      <c r="F64" s="287">
        <f t="shared" si="10"/>
        <v>20096.12732608986</v>
      </c>
      <c r="G64" s="86" t="s">
        <v>709</v>
      </c>
    </row>
    <row r="65" spans="1:7">
      <c r="B65" s="37" t="s">
        <v>69</v>
      </c>
      <c r="C65" s="331">
        <f t="shared" si="11"/>
        <v>2.4742876957569804</v>
      </c>
      <c r="D65" s="287">
        <f t="shared" si="12"/>
        <v>5071.4034303364224</v>
      </c>
      <c r="E65" s="287">
        <f t="shared" si="10"/>
        <v>108.01084821828526</v>
      </c>
      <c r="F65" s="287">
        <f t="shared" si="10"/>
        <v>5179.4142593015094</v>
      </c>
      <c r="G65" s="86" t="s">
        <v>709</v>
      </c>
    </row>
    <row r="66" spans="1:7">
      <c r="B66" s="37" t="s">
        <v>70</v>
      </c>
      <c r="C66" s="331">
        <f t="shared" si="11"/>
        <v>2.0482447513122382</v>
      </c>
      <c r="D66" s="287">
        <f t="shared" si="12"/>
        <v>4198.1680124693521</v>
      </c>
      <c r="E66" s="287">
        <f t="shared" si="10"/>
        <v>89.412663421179886</v>
      </c>
      <c r="F66" s="287">
        <f t="shared" si="10"/>
        <v>4287.5806599525076</v>
      </c>
      <c r="G66" s="86" t="s">
        <v>709</v>
      </c>
    </row>
    <row r="67" spans="1:7" ht="15">
      <c r="B67" s="50" t="s">
        <v>71</v>
      </c>
      <c r="C67" s="122">
        <f t="shared" si="11"/>
        <v>0</v>
      </c>
      <c r="D67" s="288">
        <f t="shared" si="12"/>
        <v>0</v>
      </c>
      <c r="E67" s="288">
        <f t="shared" si="10"/>
        <v>0</v>
      </c>
      <c r="F67" s="288">
        <f t="shared" si="10"/>
        <v>0</v>
      </c>
      <c r="G67" s="289" t="s">
        <v>707</v>
      </c>
    </row>
    <row r="68" spans="1:7" ht="16.5">
      <c r="B68" s="114"/>
      <c r="C68" s="251"/>
      <c r="D68" s="280"/>
      <c r="E68" s="281" t="s">
        <v>711</v>
      </c>
      <c r="F68" s="282"/>
      <c r="G68" s="132"/>
    </row>
    <row r="69" spans="1:7">
      <c r="B69" s="114"/>
      <c r="C69" s="251"/>
      <c r="D69" s="283">
        <f>'Damage costs'!C36</f>
        <v>1679682.0825665982</v>
      </c>
      <c r="E69" s="284">
        <f>'Damage costs'!C45</f>
        <v>20703.629545524611</v>
      </c>
      <c r="F69" s="285">
        <f>'Damage costs'!C25</f>
        <v>1700385.7121121241</v>
      </c>
      <c r="G69" s="132"/>
    </row>
    <row r="70" spans="1:7" ht="15">
      <c r="A70" s="264" t="s">
        <v>712</v>
      </c>
      <c r="B70" s="26" t="s">
        <v>713</v>
      </c>
      <c r="C70" s="13" t="s">
        <v>703</v>
      </c>
      <c r="D70" s="14" t="s">
        <v>723</v>
      </c>
      <c r="E70" s="14" t="s">
        <v>724</v>
      </c>
      <c r="F70" s="14" t="s">
        <v>725</v>
      </c>
      <c r="G70" s="13" t="s">
        <v>206</v>
      </c>
    </row>
    <row r="71" spans="1:7" ht="15">
      <c r="B71" s="37" t="s">
        <v>64</v>
      </c>
      <c r="C71" s="78">
        <f>C21</f>
        <v>0</v>
      </c>
      <c r="D71" s="290">
        <f>$C71*D$69/10^3</f>
        <v>0</v>
      </c>
      <c r="E71" s="290">
        <f t="shared" ref="E71:F78" si="13">$C71*E$69/10^3</f>
        <v>0</v>
      </c>
      <c r="F71" s="290">
        <f t="shared" si="13"/>
        <v>0</v>
      </c>
      <c r="G71" s="286" t="s">
        <v>714</v>
      </c>
    </row>
    <row r="72" spans="1:7" ht="15">
      <c r="B72" s="37" t="s">
        <v>65</v>
      </c>
      <c r="C72" s="78">
        <f t="shared" ref="C72:C78" si="14">C22</f>
        <v>0</v>
      </c>
      <c r="D72" s="290">
        <f t="shared" ref="D72:D78" si="15">$C72*D$69/10^3</f>
        <v>0</v>
      </c>
      <c r="E72" s="290">
        <f t="shared" si="13"/>
        <v>0</v>
      </c>
      <c r="F72" s="290">
        <f t="shared" si="13"/>
        <v>0</v>
      </c>
      <c r="G72" s="86" t="s">
        <v>715</v>
      </c>
    </row>
    <row r="73" spans="1:7" ht="15">
      <c r="B73" s="37" t="s">
        <v>66</v>
      </c>
      <c r="C73" s="78">
        <f t="shared" si="14"/>
        <v>0</v>
      </c>
      <c r="D73" s="290">
        <f t="shared" si="15"/>
        <v>0</v>
      </c>
      <c r="E73" s="290">
        <f t="shared" si="13"/>
        <v>0</v>
      </c>
      <c r="F73" s="290">
        <f t="shared" si="13"/>
        <v>0</v>
      </c>
      <c r="G73" s="286" t="s">
        <v>716</v>
      </c>
    </row>
    <row r="74" spans="1:7" ht="15">
      <c r="B74" s="37" t="s">
        <v>67</v>
      </c>
      <c r="C74" s="78">
        <f t="shared" si="14"/>
        <v>0</v>
      </c>
      <c r="D74" s="290">
        <f t="shared" si="15"/>
        <v>0</v>
      </c>
      <c r="E74" s="290">
        <f t="shared" si="13"/>
        <v>0</v>
      </c>
      <c r="F74" s="290">
        <f t="shared" si="13"/>
        <v>0</v>
      </c>
      <c r="G74" s="286" t="s">
        <v>716</v>
      </c>
    </row>
    <row r="75" spans="1:7" ht="15">
      <c r="B75" s="37" t="s">
        <v>68</v>
      </c>
      <c r="C75" s="78">
        <f t="shared" si="14"/>
        <v>0</v>
      </c>
      <c r="D75" s="290">
        <f t="shared" si="15"/>
        <v>0</v>
      </c>
      <c r="E75" s="290">
        <f t="shared" si="13"/>
        <v>0</v>
      </c>
      <c r="F75" s="290">
        <f t="shared" si="13"/>
        <v>0</v>
      </c>
      <c r="G75" s="286" t="s">
        <v>716</v>
      </c>
    </row>
    <row r="76" spans="1:7" ht="15">
      <c r="B76" s="37" t="s">
        <v>69</v>
      </c>
      <c r="C76" s="78">
        <f t="shared" si="14"/>
        <v>0</v>
      </c>
      <c r="D76" s="290">
        <f t="shared" si="15"/>
        <v>0</v>
      </c>
      <c r="E76" s="290">
        <f t="shared" si="13"/>
        <v>0</v>
      </c>
      <c r="F76" s="290">
        <f t="shared" si="13"/>
        <v>0</v>
      </c>
      <c r="G76" s="286" t="s">
        <v>716</v>
      </c>
    </row>
    <row r="77" spans="1:7" ht="15">
      <c r="B77" s="37" t="s">
        <v>70</v>
      </c>
      <c r="C77" s="78">
        <f t="shared" si="14"/>
        <v>0</v>
      </c>
      <c r="D77" s="290">
        <f t="shared" si="15"/>
        <v>0</v>
      </c>
      <c r="E77" s="290">
        <f t="shared" si="13"/>
        <v>0</v>
      </c>
      <c r="F77" s="290">
        <f t="shared" si="13"/>
        <v>0</v>
      </c>
      <c r="G77" s="286" t="s">
        <v>716</v>
      </c>
    </row>
    <row r="78" spans="1:7" ht="15">
      <c r="B78" s="50" t="s">
        <v>71</v>
      </c>
      <c r="C78" s="113">
        <f t="shared" si="14"/>
        <v>0</v>
      </c>
      <c r="D78" s="309">
        <f t="shared" si="15"/>
        <v>0</v>
      </c>
      <c r="E78" s="309">
        <f t="shared" si="13"/>
        <v>0</v>
      </c>
      <c r="F78" s="309">
        <f t="shared" si="13"/>
        <v>0</v>
      </c>
      <c r="G78" s="88" t="s">
        <v>717</v>
      </c>
    </row>
  </sheetData>
  <hyperlinks>
    <hyperlink ref="A4" location="Contents!A1" display="Back to Contents" xr:uid="{0C71F027-E512-4EBE-92FB-668C0C63BBF6}"/>
  </hyperlinks>
  <pageMargins left="0.23622047244094488" right="0.23622047244094488" top="0.15748031496062992" bottom="0.15748031496062992" header="0.31496062992125984" footer="0.31496062992125984"/>
  <pageSetup paperSize="9" scale="79" fitToHeight="0"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418E-C5C9-4F89-B121-F952CEAE2CF5}">
  <sheetPr>
    <tabColor theme="5" tint="0.79998168889431442"/>
    <pageSetUpPr fitToPage="1"/>
  </sheetPr>
  <dimension ref="A1:U78"/>
  <sheetViews>
    <sheetView workbookViewId="0">
      <selection activeCell="C73" sqref="C73"/>
    </sheetView>
  </sheetViews>
  <sheetFormatPr defaultRowHeight="14.45"/>
  <cols>
    <col min="1" max="1" width="11.140625" customWidth="1"/>
    <col min="2" max="2" width="38.42578125" customWidth="1"/>
    <col min="3" max="3" width="22" customWidth="1"/>
    <col min="4" max="4" width="13.28515625" customWidth="1"/>
    <col min="5" max="5" width="14.28515625" style="638" customWidth="1"/>
    <col min="6" max="8" width="19.140625" customWidth="1"/>
    <col min="9" max="9" width="52.140625" bestFit="1" customWidth="1"/>
    <col min="10" max="16" width="16.42578125" customWidth="1"/>
  </cols>
  <sheetData>
    <row r="1" spans="1:21" ht="18.600000000000001">
      <c r="A1" s="263" t="s">
        <v>726</v>
      </c>
      <c r="B1" s="263"/>
      <c r="C1" s="263"/>
      <c r="D1" s="263"/>
      <c r="E1" s="643"/>
      <c r="F1" s="263"/>
      <c r="G1" s="263"/>
      <c r="H1" s="263"/>
      <c r="I1" s="263"/>
      <c r="J1" s="340"/>
      <c r="K1" s="340"/>
      <c r="L1" s="340"/>
      <c r="M1" s="340"/>
    </row>
    <row r="2" spans="1:21">
      <c r="A2" s="4" t="s">
        <v>727</v>
      </c>
      <c r="B2" s="4"/>
      <c r="C2" s="4"/>
      <c r="D2" s="4"/>
      <c r="E2" s="644"/>
      <c r="I2" s="366"/>
    </row>
    <row r="3" spans="1:21">
      <c r="A3" s="438" t="s">
        <v>728</v>
      </c>
      <c r="B3" s="5"/>
      <c r="C3" s="5"/>
      <c r="D3" s="5"/>
      <c r="E3" s="645"/>
      <c r="I3" s="369"/>
    </row>
    <row r="4" spans="1:21">
      <c r="A4" s="380" t="s">
        <v>59</v>
      </c>
      <c r="S4" s="9"/>
      <c r="T4" s="9"/>
      <c r="U4" s="9"/>
    </row>
    <row r="5" spans="1:21">
      <c r="A5" s="38"/>
      <c r="S5" s="9"/>
      <c r="T5" s="9"/>
      <c r="U5" s="9"/>
    </row>
    <row r="6" spans="1:21">
      <c r="B6" s="275"/>
      <c r="C6" s="639"/>
      <c r="D6" s="639"/>
      <c r="E6" s="639"/>
      <c r="F6" s="276"/>
      <c r="G6" s="269" t="s">
        <v>701</v>
      </c>
      <c r="H6" s="276"/>
      <c r="I6" s="276"/>
    </row>
    <row r="7" spans="1:21" ht="16.5">
      <c r="B7" s="268" t="s">
        <v>131</v>
      </c>
      <c r="C7" s="639"/>
      <c r="D7" s="221"/>
      <c r="E7" s="676" t="s">
        <v>729</v>
      </c>
      <c r="F7" s="270"/>
      <c r="G7" s="274" t="s">
        <v>702</v>
      </c>
      <c r="H7" s="271"/>
      <c r="I7" s="278"/>
    </row>
    <row r="8" spans="1:21">
      <c r="B8" s="268"/>
      <c r="C8" s="639"/>
      <c r="D8" s="221"/>
      <c r="E8" s="676" t="s">
        <v>730</v>
      </c>
      <c r="F8" s="272">
        <f>'Damage costs'!E35</f>
        <v>1258422.476732441</v>
      </c>
      <c r="G8" s="267">
        <f>'Damage costs'!E44</f>
        <v>27025.009505459766</v>
      </c>
      <c r="H8" s="273">
        <f>'Damage costs'!E24</f>
        <v>1285447.4815702473</v>
      </c>
      <c r="I8" s="278"/>
    </row>
    <row r="9" spans="1:21" ht="15">
      <c r="B9" s="15" t="s">
        <v>107</v>
      </c>
      <c r="C9" s="14" t="s">
        <v>703</v>
      </c>
      <c r="D9" s="15"/>
      <c r="E9" s="646"/>
      <c r="F9" s="14" t="s">
        <v>704</v>
      </c>
      <c r="G9" s="14" t="s">
        <v>705</v>
      </c>
      <c r="H9" s="14" t="s">
        <v>706</v>
      </c>
      <c r="I9" s="266" t="s">
        <v>206</v>
      </c>
    </row>
    <row r="10" spans="1:21" ht="15">
      <c r="B10" s="37" t="s">
        <v>64</v>
      </c>
      <c r="C10" s="265">
        <v>0</v>
      </c>
      <c r="D10" s="640"/>
      <c r="E10" s="647"/>
      <c r="F10" s="287">
        <f>$C10*F$8/10^3*$D10</f>
        <v>0</v>
      </c>
      <c r="G10" s="287">
        <f>$C10*G$8/10^3*$D10</f>
        <v>0</v>
      </c>
      <c r="H10" s="287">
        <f>$C10*H$8/10^3*$D10</f>
        <v>0</v>
      </c>
      <c r="I10" s="286" t="s">
        <v>707</v>
      </c>
    </row>
    <row r="11" spans="1:21" ht="15">
      <c r="B11" s="37" t="s">
        <v>65</v>
      </c>
      <c r="C11" s="265">
        <v>0</v>
      </c>
      <c r="D11" s="640"/>
      <c r="E11" s="648">
        <f>'NZ nat data'!C65</f>
        <v>360099</v>
      </c>
      <c r="F11" s="287">
        <f t="shared" ref="F11:H17" si="0">$C11*F$8/10^3*$E11</f>
        <v>0</v>
      </c>
      <c r="G11" s="287">
        <f t="shared" si="0"/>
        <v>0</v>
      </c>
      <c r="H11" s="287">
        <f t="shared" si="0"/>
        <v>0</v>
      </c>
      <c r="I11" s="286" t="s">
        <v>708</v>
      </c>
    </row>
    <row r="12" spans="1:21">
      <c r="B12" s="37" t="s">
        <v>66</v>
      </c>
      <c r="C12" s="331">
        <f>'Fuel use'!H39</f>
        <v>20.810362166822088</v>
      </c>
      <c r="D12" s="642" t="s">
        <v>731</v>
      </c>
      <c r="E12" s="648">
        <f>'NZ nat data'!C66</f>
        <v>1973.0777142229585</v>
      </c>
      <c r="F12" s="287">
        <f t="shared" si="0"/>
        <v>51671408.054602347</v>
      </c>
      <c r="G12" s="287">
        <f t="shared" si="0"/>
        <v>1109659.3708831365</v>
      </c>
      <c r="H12" s="287">
        <f t="shared" si="0"/>
        <v>52781067.233829483</v>
      </c>
      <c r="I12" s="86" t="s">
        <v>709</v>
      </c>
    </row>
    <row r="13" spans="1:21">
      <c r="B13" s="37" t="s">
        <v>67</v>
      </c>
      <c r="C13" s="331">
        <f>'Fuel use'!H40</f>
        <v>13.200324856863491</v>
      </c>
      <c r="D13" s="641">
        <v>0.25</v>
      </c>
      <c r="E13" s="648">
        <f>'NZ nat data'!C67</f>
        <v>101236.28659302443</v>
      </c>
      <c r="F13" s="287">
        <f t="shared" si="0"/>
        <v>1681695230.447283</v>
      </c>
      <c r="G13" s="287">
        <f t="shared" si="0"/>
        <v>36114921.998319522</v>
      </c>
      <c r="H13" s="287">
        <f t="shared" si="0"/>
        <v>1717810146.2079751</v>
      </c>
      <c r="I13" s="86" t="s">
        <v>710</v>
      </c>
    </row>
    <row r="14" spans="1:21">
      <c r="B14" s="37" t="s">
        <v>68</v>
      </c>
      <c r="C14" s="331">
        <f>'Fuel use'!H41</f>
        <v>9.600236259537084</v>
      </c>
      <c r="D14" s="641">
        <v>0.5</v>
      </c>
      <c r="E14" s="648">
        <f>'NZ nat data'!C68</f>
        <v>369512.44606453914</v>
      </c>
      <c r="F14" s="287">
        <f t="shared" si="0"/>
        <v>4464136429.9146061</v>
      </c>
      <c r="G14" s="287">
        <f t="shared" si="0"/>
        <v>95868702.03190273</v>
      </c>
      <c r="H14" s="287">
        <f t="shared" si="0"/>
        <v>4560005115.388442</v>
      </c>
      <c r="I14" s="86" t="s">
        <v>709</v>
      </c>
    </row>
    <row r="15" spans="1:21">
      <c r="B15" s="37" t="s">
        <v>69</v>
      </c>
      <c r="C15" s="331">
        <f>'Fuel use'!H42</f>
        <v>2.4742876957569804</v>
      </c>
      <c r="D15" s="641">
        <v>0.25</v>
      </c>
      <c r="E15" s="648">
        <f>'NZ nat data'!C69</f>
        <v>35432.700307558553</v>
      </c>
      <c r="F15" s="287">
        <f t="shared" si="0"/>
        <v>110326772.38173364</v>
      </c>
      <c r="G15" s="287">
        <f t="shared" si="0"/>
        <v>2369301.3494680105</v>
      </c>
      <c r="H15" s="287">
        <f t="shared" si="0"/>
        <v>112696073.32198526</v>
      </c>
      <c r="I15" s="86" t="s">
        <v>709</v>
      </c>
    </row>
    <row r="16" spans="1:21">
      <c r="B16" s="37" t="s">
        <v>70</v>
      </c>
      <c r="C16" s="331">
        <f>'Fuel use'!H43</f>
        <v>2.0482447513122382</v>
      </c>
      <c r="D16" s="640"/>
      <c r="E16" s="648">
        <f>'NZ nat data'!C70</f>
        <v>15531.831390996367</v>
      </c>
      <c r="F16" s="287">
        <f t="shared" si="0"/>
        <v>40034184.342054792</v>
      </c>
      <c r="G16" s="287">
        <f t="shared" si="0"/>
        <v>859746.41457186278</v>
      </c>
      <c r="H16" s="287">
        <f t="shared" si="0"/>
        <v>40893930.608134635</v>
      </c>
      <c r="I16" s="86" t="s">
        <v>709</v>
      </c>
    </row>
    <row r="17" spans="1:11" ht="15">
      <c r="B17" s="50" t="s">
        <v>71</v>
      </c>
      <c r="C17" s="122">
        <v>0</v>
      </c>
      <c r="D17" s="122"/>
      <c r="E17" s="675">
        <f>'NZ nat data'!C71</f>
        <v>44645.397397201348</v>
      </c>
      <c r="F17" s="288">
        <f t="shared" si="0"/>
        <v>0</v>
      </c>
      <c r="G17" s="288">
        <f t="shared" si="0"/>
        <v>0</v>
      </c>
      <c r="H17" s="288">
        <f t="shared" si="0"/>
        <v>0</v>
      </c>
      <c r="I17" s="289" t="s">
        <v>707</v>
      </c>
    </row>
    <row r="18" spans="1:11" ht="16.5">
      <c r="B18" s="114"/>
      <c r="C18" s="251"/>
      <c r="F18" s="280"/>
      <c r="G18" s="281" t="s">
        <v>711</v>
      </c>
      <c r="H18" s="282"/>
      <c r="I18" s="132"/>
    </row>
    <row r="19" spans="1:11">
      <c r="B19" s="114"/>
      <c r="C19" s="251"/>
      <c r="F19" s="283">
        <f>'Damage costs'!E36</f>
        <v>625549.24880571628</v>
      </c>
      <c r="G19" s="284">
        <f>'Damage costs'!E45</f>
        <v>7714.8901492772811</v>
      </c>
      <c r="H19" s="285">
        <f>'Damage costs'!E25</f>
        <v>633264.13895499415</v>
      </c>
      <c r="I19" s="132"/>
    </row>
    <row r="20" spans="1:11" ht="15">
      <c r="A20" s="649" t="s">
        <v>712</v>
      </c>
      <c r="B20" s="650" t="s">
        <v>713</v>
      </c>
      <c r="C20" s="13" t="s">
        <v>703</v>
      </c>
      <c r="D20" s="15"/>
      <c r="E20" s="646"/>
      <c r="F20" s="14" t="s">
        <v>704</v>
      </c>
      <c r="G20" s="14" t="s">
        <v>705</v>
      </c>
      <c r="H20" s="14" t="s">
        <v>706</v>
      </c>
      <c r="I20" s="13" t="s">
        <v>206</v>
      </c>
    </row>
    <row r="21" spans="1:11" ht="15">
      <c r="B21" s="37" t="s">
        <v>64</v>
      </c>
      <c r="C21" s="78">
        <v>0</v>
      </c>
      <c r="D21" s="640"/>
      <c r="E21" s="647"/>
      <c r="F21" s="290">
        <f>$C21*F$19/10^3*$D21</f>
        <v>0</v>
      </c>
      <c r="G21" s="290">
        <f>$C21*G$19/10^3*$D21</f>
        <v>0</v>
      </c>
      <c r="H21" s="290">
        <f>$C21*H$19/10^3*$D21</f>
        <v>0</v>
      </c>
      <c r="I21" s="286" t="s">
        <v>714</v>
      </c>
    </row>
    <row r="22" spans="1:11" ht="15">
      <c r="B22" s="37" t="s">
        <v>65</v>
      </c>
      <c r="C22" s="78">
        <v>0</v>
      </c>
      <c r="D22" s="640"/>
      <c r="E22" s="648">
        <f>E11</f>
        <v>360099</v>
      </c>
      <c r="F22" s="290">
        <f t="shared" ref="F22:H28" si="1">$C22*F$19/10^3*$E22</f>
        <v>0</v>
      </c>
      <c r="G22" s="290">
        <f t="shared" si="1"/>
        <v>0</v>
      </c>
      <c r="H22" s="290">
        <f t="shared" si="1"/>
        <v>0</v>
      </c>
      <c r="I22" s="86" t="s">
        <v>715</v>
      </c>
      <c r="K22" s="630"/>
    </row>
    <row r="23" spans="1:11" ht="15">
      <c r="B23" s="37" t="s">
        <v>66</v>
      </c>
      <c r="C23" s="78">
        <v>0</v>
      </c>
      <c r="D23" s="642" t="s">
        <v>731</v>
      </c>
      <c r="E23" s="648">
        <f t="shared" ref="E23:E28" si="2">E12</f>
        <v>1973.0777142229585</v>
      </c>
      <c r="F23" s="290">
        <f t="shared" si="1"/>
        <v>0</v>
      </c>
      <c r="G23" s="290">
        <f t="shared" si="1"/>
        <v>0</v>
      </c>
      <c r="H23" s="290">
        <f t="shared" si="1"/>
        <v>0</v>
      </c>
      <c r="I23" s="286" t="s">
        <v>716</v>
      </c>
    </row>
    <row r="24" spans="1:11" ht="15">
      <c r="B24" s="37" t="s">
        <v>67</v>
      </c>
      <c r="C24" s="78">
        <v>0</v>
      </c>
      <c r="D24" s="641">
        <v>0.25</v>
      </c>
      <c r="E24" s="648">
        <f t="shared" si="2"/>
        <v>101236.28659302443</v>
      </c>
      <c r="F24" s="290">
        <f t="shared" si="1"/>
        <v>0</v>
      </c>
      <c r="G24" s="290">
        <f t="shared" si="1"/>
        <v>0</v>
      </c>
      <c r="H24" s="290">
        <f t="shared" si="1"/>
        <v>0</v>
      </c>
      <c r="I24" s="286" t="s">
        <v>716</v>
      </c>
    </row>
    <row r="25" spans="1:11" ht="15">
      <c r="B25" s="37" t="s">
        <v>68</v>
      </c>
      <c r="C25" s="78">
        <v>0</v>
      </c>
      <c r="D25" s="641">
        <v>0.5</v>
      </c>
      <c r="E25" s="648">
        <f t="shared" si="2"/>
        <v>369512.44606453914</v>
      </c>
      <c r="F25" s="290">
        <f t="shared" si="1"/>
        <v>0</v>
      </c>
      <c r="G25" s="290">
        <f t="shared" si="1"/>
        <v>0</v>
      </c>
      <c r="H25" s="290">
        <f t="shared" si="1"/>
        <v>0</v>
      </c>
      <c r="I25" s="286" t="s">
        <v>716</v>
      </c>
    </row>
    <row r="26" spans="1:11" ht="15">
      <c r="B26" s="37" t="s">
        <v>69</v>
      </c>
      <c r="C26" s="78">
        <v>0</v>
      </c>
      <c r="D26" s="641">
        <v>0.25</v>
      </c>
      <c r="E26" s="648">
        <f t="shared" si="2"/>
        <v>35432.700307558553</v>
      </c>
      <c r="F26" s="290">
        <f t="shared" si="1"/>
        <v>0</v>
      </c>
      <c r="G26" s="290">
        <f t="shared" si="1"/>
        <v>0</v>
      </c>
      <c r="H26" s="290">
        <f t="shared" si="1"/>
        <v>0</v>
      </c>
      <c r="I26" s="286" t="s">
        <v>716</v>
      </c>
    </row>
    <row r="27" spans="1:11" ht="15">
      <c r="B27" s="37" t="s">
        <v>70</v>
      </c>
      <c r="C27" s="78">
        <v>0</v>
      </c>
      <c r="D27" s="640"/>
      <c r="E27" s="648">
        <f t="shared" si="2"/>
        <v>15531.831390996367</v>
      </c>
      <c r="F27" s="290">
        <f t="shared" si="1"/>
        <v>0</v>
      </c>
      <c r="G27" s="290">
        <f t="shared" si="1"/>
        <v>0</v>
      </c>
      <c r="H27" s="290">
        <f t="shared" si="1"/>
        <v>0</v>
      </c>
      <c r="I27" s="286" t="s">
        <v>716</v>
      </c>
    </row>
    <row r="28" spans="1:11" ht="15">
      <c r="B28" s="50" t="s">
        <v>71</v>
      </c>
      <c r="C28" s="113">
        <v>0</v>
      </c>
      <c r="D28" s="122"/>
      <c r="E28" s="675">
        <f t="shared" si="2"/>
        <v>44645.397397201348</v>
      </c>
      <c r="F28" s="309">
        <f t="shared" si="1"/>
        <v>0</v>
      </c>
      <c r="G28" s="309">
        <f t="shared" si="1"/>
        <v>0</v>
      </c>
      <c r="H28" s="309">
        <f t="shared" si="1"/>
        <v>0</v>
      </c>
      <c r="I28" s="88" t="s">
        <v>717</v>
      </c>
    </row>
    <row r="29" spans="1:11">
      <c r="B29" s="114"/>
      <c r="C29" s="252"/>
      <c r="F29" s="339"/>
      <c r="G29" s="339"/>
      <c r="H29" s="339"/>
      <c r="I29" s="151"/>
    </row>
    <row r="31" spans="1:11">
      <c r="B31" s="275"/>
      <c r="C31" s="639"/>
      <c r="D31" s="639"/>
      <c r="E31" s="639"/>
      <c r="F31" s="276"/>
      <c r="G31" s="269" t="s">
        <v>718</v>
      </c>
      <c r="H31" s="276"/>
      <c r="I31" s="276"/>
    </row>
    <row r="32" spans="1:11" ht="16.5">
      <c r="B32" s="268" t="s">
        <v>131</v>
      </c>
      <c r="C32" s="639"/>
      <c r="D32" s="221"/>
      <c r="E32" s="676" t="s">
        <v>729</v>
      </c>
      <c r="F32" s="270"/>
      <c r="G32" s="274" t="s">
        <v>702</v>
      </c>
      <c r="H32" s="271"/>
      <c r="I32" s="278"/>
    </row>
    <row r="33" spans="1:9">
      <c r="B33" s="268"/>
      <c r="C33" s="639"/>
      <c r="D33" s="221"/>
      <c r="E33" s="676" t="s">
        <v>730</v>
      </c>
      <c r="F33" s="272">
        <f>'Damage costs'!D35</f>
        <v>79234.841653445663</v>
      </c>
      <c r="G33" s="267">
        <f>'Damage costs'!D44</f>
        <v>2243.1487564447298</v>
      </c>
      <c r="H33" s="273">
        <f>'Damage costs'!D24</f>
        <v>81477.990382649252</v>
      </c>
      <c r="I33" s="278"/>
    </row>
    <row r="34" spans="1:9" ht="15">
      <c r="B34" s="15" t="s">
        <v>107</v>
      </c>
      <c r="C34" s="14" t="s">
        <v>703</v>
      </c>
      <c r="D34" s="15"/>
      <c r="E34" s="646"/>
      <c r="F34" s="14" t="s">
        <v>719</v>
      </c>
      <c r="G34" s="14" t="s">
        <v>720</v>
      </c>
      <c r="H34" s="14" t="s">
        <v>721</v>
      </c>
      <c r="I34" s="266" t="s">
        <v>206</v>
      </c>
    </row>
    <row r="35" spans="1:9" ht="15">
      <c r="B35" s="37" t="s">
        <v>64</v>
      </c>
      <c r="C35" s="265">
        <f>C10</f>
        <v>0</v>
      </c>
      <c r="D35" s="640"/>
      <c r="E35" s="647"/>
      <c r="F35" s="287">
        <f>$C35*F$33/10^3*$D35</f>
        <v>0</v>
      </c>
      <c r="G35" s="287">
        <f>$C35*G$33/10^3*$D35</f>
        <v>0</v>
      </c>
      <c r="H35" s="287">
        <f>$C35*H$33/10^3*$D35</f>
        <v>0</v>
      </c>
      <c r="I35" s="286" t="s">
        <v>707</v>
      </c>
    </row>
    <row r="36" spans="1:9" ht="15">
      <c r="B36" s="37" t="s">
        <v>65</v>
      </c>
      <c r="C36" s="265">
        <f t="shared" ref="C36:C42" si="3">C11</f>
        <v>0</v>
      </c>
      <c r="D36" s="640"/>
      <c r="E36" s="648">
        <f>E11</f>
        <v>360099</v>
      </c>
      <c r="F36" s="287">
        <f t="shared" ref="F36:H42" si="4">$C36*F$33/10^3*$E36</f>
        <v>0</v>
      </c>
      <c r="G36" s="287">
        <f t="shared" si="4"/>
        <v>0</v>
      </c>
      <c r="H36" s="287">
        <f t="shared" si="4"/>
        <v>0</v>
      </c>
      <c r="I36" s="286" t="s">
        <v>708</v>
      </c>
    </row>
    <row r="37" spans="1:9">
      <c r="B37" s="37" t="s">
        <v>66</v>
      </c>
      <c r="C37" s="331">
        <f t="shared" si="3"/>
        <v>20.810362166822088</v>
      </c>
      <c r="D37" s="642" t="s">
        <v>731</v>
      </c>
      <c r="E37" s="648">
        <f t="shared" ref="E37:E42" si="5">E12</f>
        <v>1973.0777142229585</v>
      </c>
      <c r="F37" s="287">
        <f t="shared" si="4"/>
        <v>3253419.1902291295</v>
      </c>
      <c r="G37" s="287">
        <f t="shared" si="4"/>
        <v>92104.723862201732</v>
      </c>
      <c r="H37" s="287">
        <f t="shared" si="4"/>
        <v>3345523.9129727981</v>
      </c>
      <c r="I37" s="86" t="s">
        <v>709</v>
      </c>
    </row>
    <row r="38" spans="1:9">
      <c r="B38" s="37" t="s">
        <v>67</v>
      </c>
      <c r="C38" s="331">
        <f t="shared" si="3"/>
        <v>13.200324856863491</v>
      </c>
      <c r="D38" s="641">
        <v>0.25</v>
      </c>
      <c r="E38" s="648">
        <f t="shared" si="5"/>
        <v>101236.28659302443</v>
      </c>
      <c r="F38" s="287">
        <f t="shared" si="4"/>
        <v>105885628.83891968</v>
      </c>
      <c r="G38" s="287">
        <f t="shared" si="4"/>
        <v>2997636.0361043522</v>
      </c>
      <c r="H38" s="287">
        <f t="shared" si="4"/>
        <v>108883264.83862028</v>
      </c>
      <c r="I38" s="86" t="s">
        <v>710</v>
      </c>
    </row>
    <row r="39" spans="1:9">
      <c r="B39" s="37" t="s">
        <v>68</v>
      </c>
      <c r="C39" s="331">
        <f t="shared" si="3"/>
        <v>9.600236259537084</v>
      </c>
      <c r="D39" s="641">
        <v>0.5</v>
      </c>
      <c r="E39" s="648">
        <f t="shared" si="5"/>
        <v>369512.44606453914</v>
      </c>
      <c r="F39" s="287">
        <f t="shared" si="4"/>
        <v>281078214.73604125</v>
      </c>
      <c r="G39" s="287">
        <f t="shared" si="4"/>
        <v>7957361.1140224626</v>
      </c>
      <c r="H39" s="287">
        <f t="shared" si="4"/>
        <v>289035575.75342834</v>
      </c>
      <c r="I39" s="86" t="s">
        <v>709</v>
      </c>
    </row>
    <row r="40" spans="1:9">
      <c r="B40" s="37" t="s">
        <v>69</v>
      </c>
      <c r="C40" s="331">
        <f t="shared" si="3"/>
        <v>2.4742876957569804</v>
      </c>
      <c r="D40" s="641">
        <v>0.25</v>
      </c>
      <c r="E40" s="648">
        <f t="shared" si="5"/>
        <v>35432.700307558553</v>
      </c>
      <c r="F40" s="287">
        <f t="shared" si="4"/>
        <v>6946573.5883077579</v>
      </c>
      <c r="G40" s="287">
        <f t="shared" si="4"/>
        <v>196658.40911649918</v>
      </c>
      <c r="H40" s="287">
        <f t="shared" si="4"/>
        <v>7143231.9950360078</v>
      </c>
      <c r="I40" s="86" t="s">
        <v>709</v>
      </c>
    </row>
    <row r="41" spans="1:9">
      <c r="B41" s="37" t="s">
        <v>70</v>
      </c>
      <c r="C41" s="331">
        <f t="shared" si="3"/>
        <v>2.0482447513122382</v>
      </c>
      <c r="D41" s="640"/>
      <c r="E41" s="648">
        <f t="shared" si="5"/>
        <v>15531.831390996367</v>
      </c>
      <c r="F41" s="287">
        <f t="shared" si="4"/>
        <v>2520697.3935367819</v>
      </c>
      <c r="G41" s="287">
        <f t="shared" si="4"/>
        <v>71361.273723699269</v>
      </c>
      <c r="H41" s="287">
        <f t="shared" si="4"/>
        <v>2592058.6663938588</v>
      </c>
      <c r="I41" s="86" t="s">
        <v>709</v>
      </c>
    </row>
    <row r="42" spans="1:9" ht="15">
      <c r="B42" s="50" t="s">
        <v>71</v>
      </c>
      <c r="C42" s="122">
        <f t="shared" si="3"/>
        <v>0</v>
      </c>
      <c r="D42" s="122"/>
      <c r="E42" s="675">
        <f t="shared" si="5"/>
        <v>44645.397397201348</v>
      </c>
      <c r="F42" s="288">
        <f t="shared" si="4"/>
        <v>0</v>
      </c>
      <c r="G42" s="288">
        <f t="shared" si="4"/>
        <v>0</v>
      </c>
      <c r="H42" s="288">
        <f t="shared" si="4"/>
        <v>0</v>
      </c>
      <c r="I42" s="289" t="s">
        <v>707</v>
      </c>
    </row>
    <row r="43" spans="1:9" ht="16.5">
      <c r="B43" s="114"/>
      <c r="C43" s="251"/>
      <c r="F43" s="280"/>
      <c r="G43" s="281" t="s">
        <v>711</v>
      </c>
      <c r="H43" s="282"/>
      <c r="I43" s="132"/>
    </row>
    <row r="44" spans="1:9">
      <c r="B44" s="114"/>
      <c r="C44" s="251"/>
      <c r="F44" s="283">
        <f>'Damage costs'!D36</f>
        <v>37966.448847668718</v>
      </c>
      <c r="G44" s="284">
        <f>'Damage costs'!D45</f>
        <v>474.85396224050515</v>
      </c>
      <c r="H44" s="285">
        <f>'Damage costs'!D25</f>
        <v>38441.302809909226</v>
      </c>
      <c r="I44" s="132"/>
    </row>
    <row r="45" spans="1:9" ht="15">
      <c r="A45" s="649" t="s">
        <v>712</v>
      </c>
      <c r="B45" s="650" t="s">
        <v>713</v>
      </c>
      <c r="C45" s="13" t="s">
        <v>703</v>
      </c>
      <c r="D45" s="15"/>
      <c r="E45" s="646"/>
      <c r="F45" s="14" t="s">
        <v>719</v>
      </c>
      <c r="G45" s="14" t="s">
        <v>720</v>
      </c>
      <c r="H45" s="14" t="s">
        <v>721</v>
      </c>
      <c r="I45" s="13" t="s">
        <v>206</v>
      </c>
    </row>
    <row r="46" spans="1:9" ht="15">
      <c r="B46" s="37" t="s">
        <v>64</v>
      </c>
      <c r="C46" s="78">
        <f>C21</f>
        <v>0</v>
      </c>
      <c r="D46" s="640"/>
      <c r="E46" s="647"/>
      <c r="F46" s="290">
        <f>$C46*F$44/10^3*$D46</f>
        <v>0</v>
      </c>
      <c r="G46" s="290">
        <f>$C46*G$44/10^3*$D46</f>
        <v>0</v>
      </c>
      <c r="H46" s="290">
        <f>$C46*H$44/10^3*$D46</f>
        <v>0</v>
      </c>
      <c r="I46" s="286" t="s">
        <v>714</v>
      </c>
    </row>
    <row r="47" spans="1:9" ht="15">
      <c r="B47" s="37" t="s">
        <v>65</v>
      </c>
      <c r="C47" s="78">
        <f>C22</f>
        <v>0</v>
      </c>
      <c r="D47" s="640"/>
      <c r="E47" s="648">
        <f>E11</f>
        <v>360099</v>
      </c>
      <c r="F47" s="290">
        <f t="shared" ref="F47:H53" si="6">$C47*F$44/10^3*$E47</f>
        <v>0</v>
      </c>
      <c r="G47" s="290">
        <f t="shared" si="6"/>
        <v>0</v>
      </c>
      <c r="H47" s="290">
        <f t="shared" si="6"/>
        <v>0</v>
      </c>
      <c r="I47" s="86" t="s">
        <v>715</v>
      </c>
    </row>
    <row r="48" spans="1:9" ht="15">
      <c r="B48" s="37" t="s">
        <v>66</v>
      </c>
      <c r="C48" s="78">
        <f t="shared" ref="C48:C53" si="7">C23</f>
        <v>0</v>
      </c>
      <c r="D48" s="642" t="s">
        <v>731</v>
      </c>
      <c r="E48" s="648">
        <f t="shared" ref="E48:E53" si="8">E12</f>
        <v>1973.0777142229585</v>
      </c>
      <c r="F48" s="290">
        <f t="shared" si="6"/>
        <v>0</v>
      </c>
      <c r="G48" s="290">
        <f t="shared" si="6"/>
        <v>0</v>
      </c>
      <c r="H48" s="290">
        <f t="shared" si="6"/>
        <v>0</v>
      </c>
      <c r="I48" s="286" t="s">
        <v>716</v>
      </c>
    </row>
    <row r="49" spans="2:9" ht="15">
      <c r="B49" s="37" t="s">
        <v>67</v>
      </c>
      <c r="C49" s="78">
        <f t="shared" si="7"/>
        <v>0</v>
      </c>
      <c r="D49" s="641">
        <v>0.25</v>
      </c>
      <c r="E49" s="648">
        <f t="shared" si="8"/>
        <v>101236.28659302443</v>
      </c>
      <c r="F49" s="290">
        <f t="shared" si="6"/>
        <v>0</v>
      </c>
      <c r="G49" s="290">
        <f t="shared" si="6"/>
        <v>0</v>
      </c>
      <c r="H49" s="290">
        <f t="shared" si="6"/>
        <v>0</v>
      </c>
      <c r="I49" s="286" t="s">
        <v>716</v>
      </c>
    </row>
    <row r="50" spans="2:9" ht="15">
      <c r="B50" s="37" t="s">
        <v>68</v>
      </c>
      <c r="C50" s="78">
        <f t="shared" si="7"/>
        <v>0</v>
      </c>
      <c r="D50" s="641">
        <v>0.5</v>
      </c>
      <c r="E50" s="648">
        <f t="shared" si="8"/>
        <v>369512.44606453914</v>
      </c>
      <c r="F50" s="290">
        <f t="shared" si="6"/>
        <v>0</v>
      </c>
      <c r="G50" s="290">
        <f t="shared" si="6"/>
        <v>0</v>
      </c>
      <c r="H50" s="290">
        <f t="shared" si="6"/>
        <v>0</v>
      </c>
      <c r="I50" s="286" t="s">
        <v>716</v>
      </c>
    </row>
    <row r="51" spans="2:9" ht="15">
      <c r="B51" s="37" t="s">
        <v>69</v>
      </c>
      <c r="C51" s="78">
        <f t="shared" si="7"/>
        <v>0</v>
      </c>
      <c r="D51" s="641">
        <v>0.25</v>
      </c>
      <c r="E51" s="648">
        <f t="shared" si="8"/>
        <v>35432.700307558553</v>
      </c>
      <c r="F51" s="290">
        <f t="shared" si="6"/>
        <v>0</v>
      </c>
      <c r="G51" s="290">
        <f t="shared" si="6"/>
        <v>0</v>
      </c>
      <c r="H51" s="290">
        <f t="shared" si="6"/>
        <v>0</v>
      </c>
      <c r="I51" s="286" t="s">
        <v>716</v>
      </c>
    </row>
    <row r="52" spans="2:9" ht="15">
      <c r="B52" s="37" t="s">
        <v>70</v>
      </c>
      <c r="C52" s="78">
        <f t="shared" si="7"/>
        <v>0</v>
      </c>
      <c r="D52" s="640"/>
      <c r="E52" s="648">
        <f t="shared" si="8"/>
        <v>15531.831390996367</v>
      </c>
      <c r="F52" s="290">
        <f t="shared" si="6"/>
        <v>0</v>
      </c>
      <c r="G52" s="290">
        <f t="shared" si="6"/>
        <v>0</v>
      </c>
      <c r="H52" s="290">
        <f t="shared" si="6"/>
        <v>0</v>
      </c>
      <c r="I52" s="286" t="s">
        <v>716</v>
      </c>
    </row>
    <row r="53" spans="2:9" ht="15">
      <c r="B53" s="50" t="s">
        <v>71</v>
      </c>
      <c r="C53" s="113">
        <f t="shared" si="7"/>
        <v>0</v>
      </c>
      <c r="D53" s="122"/>
      <c r="E53" s="675">
        <f t="shared" si="8"/>
        <v>44645.397397201348</v>
      </c>
      <c r="F53" s="309">
        <f t="shared" si="6"/>
        <v>0</v>
      </c>
      <c r="G53" s="309">
        <f t="shared" si="6"/>
        <v>0</v>
      </c>
      <c r="H53" s="309">
        <f t="shared" si="6"/>
        <v>0</v>
      </c>
      <c r="I53" s="88" t="s">
        <v>717</v>
      </c>
    </row>
    <row r="56" spans="2:9">
      <c r="B56" s="275"/>
      <c r="C56" s="639"/>
      <c r="D56" s="639"/>
      <c r="E56" s="639"/>
      <c r="F56" s="276"/>
      <c r="G56" s="269" t="s">
        <v>722</v>
      </c>
      <c r="H56" s="276"/>
      <c r="I56" s="276"/>
    </row>
    <row r="57" spans="2:9" ht="16.5">
      <c r="B57" s="268" t="s">
        <v>131</v>
      </c>
      <c r="C57" s="639"/>
      <c r="D57" s="221"/>
      <c r="E57" s="676" t="s">
        <v>729</v>
      </c>
      <c r="F57" s="270"/>
      <c r="G57" s="274" t="s">
        <v>702</v>
      </c>
      <c r="H57" s="271"/>
      <c r="I57" s="278"/>
    </row>
    <row r="58" spans="2:9">
      <c r="B58" s="268"/>
      <c r="C58" s="639"/>
      <c r="D58" s="221"/>
      <c r="E58" s="676" t="s">
        <v>730</v>
      </c>
      <c r="F58" s="272">
        <f>'Damage costs'!C35</f>
        <v>2049641.7773216479</v>
      </c>
      <c r="G58" s="267">
        <f>'Damage costs'!C44</f>
        <v>43653.31016417659</v>
      </c>
      <c r="H58" s="273">
        <f>'Damage costs'!C24</f>
        <v>2093295.0797045154</v>
      </c>
      <c r="I58" s="278"/>
    </row>
    <row r="59" spans="2:9" ht="15">
      <c r="B59" s="15" t="s">
        <v>107</v>
      </c>
      <c r="C59" s="14" t="s">
        <v>703</v>
      </c>
      <c r="D59" s="15"/>
      <c r="E59" s="646"/>
      <c r="F59" s="14" t="s">
        <v>723</v>
      </c>
      <c r="G59" s="14" t="s">
        <v>724</v>
      </c>
      <c r="H59" s="14" t="s">
        <v>725</v>
      </c>
      <c r="I59" s="266" t="s">
        <v>206</v>
      </c>
    </row>
    <row r="60" spans="2:9" ht="15">
      <c r="B60" s="37" t="s">
        <v>64</v>
      </c>
      <c r="C60" s="265">
        <f>C10</f>
        <v>0</v>
      </c>
      <c r="D60" s="640"/>
      <c r="E60" s="647"/>
      <c r="F60" s="287">
        <f>$C60*F$58/10^3*$D60</f>
        <v>0</v>
      </c>
      <c r="G60" s="287">
        <f>$C60*G$58/10^3*$D60</f>
        <v>0</v>
      </c>
      <c r="H60" s="287">
        <f>$C60*H$58/10^3*$D60</f>
        <v>0</v>
      </c>
      <c r="I60" s="286" t="s">
        <v>707</v>
      </c>
    </row>
    <row r="61" spans="2:9" ht="15">
      <c r="B61" s="37" t="s">
        <v>65</v>
      </c>
      <c r="C61" s="265">
        <f t="shared" ref="C61:C67" si="9">C11</f>
        <v>0</v>
      </c>
      <c r="D61" s="640"/>
      <c r="E61" s="648">
        <f>E11</f>
        <v>360099</v>
      </c>
      <c r="F61" s="287">
        <f t="shared" ref="F61:H67" si="10">$C61*F$58/10^3*$E61</f>
        <v>0</v>
      </c>
      <c r="G61" s="287">
        <f t="shared" si="10"/>
        <v>0</v>
      </c>
      <c r="H61" s="287">
        <f t="shared" si="10"/>
        <v>0</v>
      </c>
      <c r="I61" s="286" t="s">
        <v>708</v>
      </c>
    </row>
    <row r="62" spans="2:9">
      <c r="B62" s="37" t="s">
        <v>66</v>
      </c>
      <c r="C62" s="331">
        <f t="shared" si="9"/>
        <v>20.810362166822088</v>
      </c>
      <c r="D62" s="642" t="s">
        <v>731</v>
      </c>
      <c r="E62" s="648">
        <f t="shared" ref="E62:E67" si="11">E12</f>
        <v>1973.0777142229585</v>
      </c>
      <c r="F62" s="287">
        <f t="shared" si="10"/>
        <v>84159237.934737578</v>
      </c>
      <c r="G62" s="287">
        <f t="shared" si="10"/>
        <v>1792425.0751497569</v>
      </c>
      <c r="H62" s="287">
        <f t="shared" si="10"/>
        <v>85951662.690383196</v>
      </c>
      <c r="I62" s="86" t="s">
        <v>709</v>
      </c>
    </row>
    <row r="63" spans="2:9">
      <c r="B63" s="37" t="s">
        <v>67</v>
      </c>
      <c r="C63" s="331">
        <f t="shared" si="9"/>
        <v>13.200324856863491</v>
      </c>
      <c r="D63" s="641">
        <v>0.25</v>
      </c>
      <c r="E63" s="648">
        <f t="shared" si="11"/>
        <v>101236.28659302443</v>
      </c>
      <c r="F63" s="287">
        <f t="shared" si="10"/>
        <v>2739042622.6312251</v>
      </c>
      <c r="G63" s="287">
        <f t="shared" si="10"/>
        <v>58336182.684012912</v>
      </c>
      <c r="H63" s="287">
        <f t="shared" si="10"/>
        <v>2797378794.9166713</v>
      </c>
      <c r="I63" s="86" t="s">
        <v>710</v>
      </c>
    </row>
    <row r="64" spans="2:9">
      <c r="B64" s="37" t="s">
        <v>68</v>
      </c>
      <c r="C64" s="331">
        <f t="shared" si="9"/>
        <v>9.600236259537084</v>
      </c>
      <c r="D64" s="641">
        <v>0.5</v>
      </c>
      <c r="E64" s="648">
        <f t="shared" si="11"/>
        <v>369512.44606453914</v>
      </c>
      <c r="F64" s="287">
        <f t="shared" si="10"/>
        <v>7270913143.7119789</v>
      </c>
      <c r="G64" s="287">
        <f t="shared" si="10"/>
        <v>154856048.57937971</v>
      </c>
      <c r="H64" s="287">
        <f t="shared" si="10"/>
        <v>7425769164.6878901</v>
      </c>
      <c r="I64" s="86" t="s">
        <v>709</v>
      </c>
    </row>
    <row r="65" spans="1:9">
      <c r="B65" s="37" t="s">
        <v>69</v>
      </c>
      <c r="C65" s="331">
        <f t="shared" si="9"/>
        <v>2.4742876957569804</v>
      </c>
      <c r="D65" s="641">
        <v>0.25</v>
      </c>
      <c r="E65" s="648">
        <f t="shared" si="11"/>
        <v>35432.700307558553</v>
      </c>
      <c r="F65" s="287">
        <f t="shared" si="10"/>
        <v>179693517.88583484</v>
      </c>
      <c r="G65" s="287">
        <f t="shared" si="10"/>
        <v>3827116.0148836961</v>
      </c>
      <c r="H65" s="287">
        <f t="shared" si="10"/>
        <v>183520633.21852574</v>
      </c>
      <c r="I65" s="86" t="s">
        <v>709</v>
      </c>
    </row>
    <row r="66" spans="1:9" ht="13.7" customHeight="1">
      <c r="B66" s="37" t="s">
        <v>70</v>
      </c>
      <c r="C66" s="331">
        <f t="shared" si="9"/>
        <v>2.0482447513122382</v>
      </c>
      <c r="D66" s="640"/>
      <c r="E66" s="648">
        <f t="shared" si="11"/>
        <v>15531.831390996367</v>
      </c>
      <c r="F66" s="287">
        <f t="shared" si="10"/>
        <v>65205237.720748313</v>
      </c>
      <c r="G66" s="287">
        <f t="shared" si="10"/>
        <v>1388742.4124776744</v>
      </c>
      <c r="H66" s="287">
        <f t="shared" si="10"/>
        <v>66593979.885679282</v>
      </c>
      <c r="I66" s="86" t="s">
        <v>709</v>
      </c>
    </row>
    <row r="67" spans="1:9" ht="15">
      <c r="B67" s="50" t="s">
        <v>71</v>
      </c>
      <c r="C67" s="122">
        <f t="shared" si="9"/>
        <v>0</v>
      </c>
      <c r="D67" s="122"/>
      <c r="E67" s="675">
        <f t="shared" si="11"/>
        <v>44645.397397201348</v>
      </c>
      <c r="F67" s="288">
        <f t="shared" si="10"/>
        <v>0</v>
      </c>
      <c r="G67" s="288">
        <f t="shared" si="10"/>
        <v>0</v>
      </c>
      <c r="H67" s="288">
        <f t="shared" si="10"/>
        <v>0</v>
      </c>
      <c r="I67" s="289" t="s">
        <v>707</v>
      </c>
    </row>
    <row r="68" spans="1:9" ht="16.5">
      <c r="B68" s="114"/>
      <c r="C68" s="251"/>
      <c r="F68" s="280"/>
      <c r="G68" s="281" t="s">
        <v>711</v>
      </c>
      <c r="H68" s="282"/>
      <c r="I68" s="132"/>
    </row>
    <row r="69" spans="1:9">
      <c r="B69" s="114"/>
      <c r="C69" s="251"/>
      <c r="F69" s="283">
        <f>'Damage costs'!C36</f>
        <v>1679682.0825665982</v>
      </c>
      <c r="G69" s="284">
        <f>'Damage costs'!C45</f>
        <v>20703.629545524611</v>
      </c>
      <c r="H69" s="285">
        <f>'Damage costs'!C25</f>
        <v>1700385.7121121241</v>
      </c>
      <c r="I69" s="132"/>
    </row>
    <row r="70" spans="1:9" ht="15">
      <c r="A70" s="649" t="s">
        <v>712</v>
      </c>
      <c r="B70" s="650" t="s">
        <v>713</v>
      </c>
      <c r="C70" s="13" t="s">
        <v>703</v>
      </c>
      <c r="D70" s="15"/>
      <c r="E70" s="646"/>
      <c r="F70" s="14" t="s">
        <v>723</v>
      </c>
      <c r="G70" s="14" t="s">
        <v>724</v>
      </c>
      <c r="H70" s="14" t="s">
        <v>725</v>
      </c>
      <c r="I70" s="13" t="s">
        <v>206</v>
      </c>
    </row>
    <row r="71" spans="1:9" ht="15">
      <c r="B71" s="37" t="s">
        <v>64</v>
      </c>
      <c r="C71" s="78">
        <f>C21</f>
        <v>0</v>
      </c>
      <c r="D71" s="640"/>
      <c r="E71" s="647"/>
      <c r="F71" s="290">
        <f>$C71*F$69/10^3*$D71</f>
        <v>0</v>
      </c>
      <c r="G71" s="290">
        <f>$C71*G$69/10^3*$D71</f>
        <v>0</v>
      </c>
      <c r="H71" s="290">
        <f>$C71*H$69/10^3*$D71</f>
        <v>0</v>
      </c>
      <c r="I71" s="286" t="s">
        <v>714</v>
      </c>
    </row>
    <row r="72" spans="1:9" ht="15">
      <c r="B72" s="37" t="s">
        <v>65</v>
      </c>
      <c r="C72" s="78">
        <f t="shared" ref="C72:C78" si="12">C22</f>
        <v>0</v>
      </c>
      <c r="D72" s="640"/>
      <c r="E72" s="651">
        <f>E11</f>
        <v>360099</v>
      </c>
      <c r="F72" s="290">
        <f t="shared" ref="F72:H78" si="13">$C72*F$69/10^3*$E72</f>
        <v>0</v>
      </c>
      <c r="G72" s="290">
        <f t="shared" si="13"/>
        <v>0</v>
      </c>
      <c r="H72" s="290">
        <f t="shared" si="13"/>
        <v>0</v>
      </c>
      <c r="I72" s="86" t="s">
        <v>715</v>
      </c>
    </row>
    <row r="73" spans="1:9" ht="15">
      <c r="B73" s="37" t="s">
        <v>66</v>
      </c>
      <c r="C73" s="78">
        <f t="shared" si="12"/>
        <v>0</v>
      </c>
      <c r="D73" s="642" t="s">
        <v>731</v>
      </c>
      <c r="E73" s="651">
        <f t="shared" ref="E73:E78" si="14">E12</f>
        <v>1973.0777142229585</v>
      </c>
      <c r="F73" s="290">
        <f t="shared" si="13"/>
        <v>0</v>
      </c>
      <c r="G73" s="290">
        <f t="shared" si="13"/>
        <v>0</v>
      </c>
      <c r="H73" s="290">
        <f t="shared" si="13"/>
        <v>0</v>
      </c>
      <c r="I73" s="286" t="s">
        <v>716</v>
      </c>
    </row>
    <row r="74" spans="1:9" ht="15">
      <c r="B74" s="37" t="s">
        <v>67</v>
      </c>
      <c r="C74" s="78">
        <f t="shared" si="12"/>
        <v>0</v>
      </c>
      <c r="D74" s="641">
        <v>0.25</v>
      </c>
      <c r="E74" s="651">
        <f t="shared" si="14"/>
        <v>101236.28659302443</v>
      </c>
      <c r="F74" s="290">
        <f t="shared" si="13"/>
        <v>0</v>
      </c>
      <c r="G74" s="290">
        <f t="shared" si="13"/>
        <v>0</v>
      </c>
      <c r="H74" s="290">
        <f t="shared" si="13"/>
        <v>0</v>
      </c>
      <c r="I74" s="286" t="s">
        <v>716</v>
      </c>
    </row>
    <row r="75" spans="1:9" ht="15">
      <c r="B75" s="37" t="s">
        <v>68</v>
      </c>
      <c r="C75" s="78">
        <f t="shared" si="12"/>
        <v>0</v>
      </c>
      <c r="D75" s="641">
        <v>0.5</v>
      </c>
      <c r="E75" s="651">
        <f t="shared" si="14"/>
        <v>369512.44606453914</v>
      </c>
      <c r="F75" s="290">
        <f t="shared" si="13"/>
        <v>0</v>
      </c>
      <c r="G75" s="290">
        <f t="shared" si="13"/>
        <v>0</v>
      </c>
      <c r="H75" s="290">
        <f t="shared" si="13"/>
        <v>0</v>
      </c>
      <c r="I75" s="286" t="s">
        <v>716</v>
      </c>
    </row>
    <row r="76" spans="1:9" ht="15">
      <c r="B76" s="37" t="s">
        <v>69</v>
      </c>
      <c r="C76" s="78">
        <f t="shared" si="12"/>
        <v>0</v>
      </c>
      <c r="D76" s="641">
        <v>0.25</v>
      </c>
      <c r="E76" s="651">
        <f t="shared" si="14"/>
        <v>35432.700307558553</v>
      </c>
      <c r="F76" s="290">
        <f t="shared" si="13"/>
        <v>0</v>
      </c>
      <c r="G76" s="290">
        <f t="shared" si="13"/>
        <v>0</v>
      </c>
      <c r="H76" s="290">
        <f t="shared" si="13"/>
        <v>0</v>
      </c>
      <c r="I76" s="286" t="s">
        <v>716</v>
      </c>
    </row>
    <row r="77" spans="1:9" ht="15">
      <c r="B77" s="37" t="s">
        <v>70</v>
      </c>
      <c r="C77" s="78">
        <f t="shared" si="12"/>
        <v>0</v>
      </c>
      <c r="D77" s="640"/>
      <c r="E77" s="651">
        <f t="shared" si="14"/>
        <v>15531.831390996367</v>
      </c>
      <c r="F77" s="290">
        <f t="shared" si="13"/>
        <v>0</v>
      </c>
      <c r="G77" s="290">
        <f t="shared" si="13"/>
        <v>0</v>
      </c>
      <c r="H77" s="290">
        <f t="shared" si="13"/>
        <v>0</v>
      </c>
      <c r="I77" s="286" t="s">
        <v>716</v>
      </c>
    </row>
    <row r="78" spans="1:9" ht="15">
      <c r="B78" s="50" t="s">
        <v>71</v>
      </c>
      <c r="C78" s="113">
        <f t="shared" si="12"/>
        <v>0</v>
      </c>
      <c r="D78" s="122"/>
      <c r="E78" s="675">
        <f t="shared" si="14"/>
        <v>44645.397397201348</v>
      </c>
      <c r="F78" s="309">
        <f t="shared" si="13"/>
        <v>0</v>
      </c>
      <c r="G78" s="309">
        <f t="shared" si="13"/>
        <v>0</v>
      </c>
      <c r="H78" s="309">
        <f t="shared" si="13"/>
        <v>0</v>
      </c>
      <c r="I78" s="88" t="s">
        <v>717</v>
      </c>
    </row>
  </sheetData>
  <hyperlinks>
    <hyperlink ref="A4" location="Contents!A1" display="Back to Contents" xr:uid="{2AE67E1A-0F5E-4FB2-8D93-34996D62143A}"/>
  </hyperlinks>
  <pageMargins left="0.23622047244094488" right="0.23622047244094488" top="0.15748031496062992" bottom="0.15748031496062992" header="0.31496062992125984" footer="0.31496062992125984"/>
  <pageSetup paperSize="9" scale="79" fitToHeight="0"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18CCE-9C8E-43D0-BCAB-C71CAAF7F4A8}">
  <sheetPr>
    <tabColor theme="4" tint="-0.249977111117893"/>
    <pageSetUpPr fitToPage="1"/>
  </sheetPr>
  <dimension ref="A1:D72"/>
  <sheetViews>
    <sheetView zoomScaleNormal="100" workbookViewId="0">
      <selection activeCell="A3" sqref="A3"/>
    </sheetView>
  </sheetViews>
  <sheetFormatPr defaultRowHeight="14.45"/>
  <cols>
    <col min="1" max="1" width="6.5703125" customWidth="1"/>
    <col min="2" max="2" width="24.5703125" customWidth="1"/>
    <col min="3" max="3" width="95.42578125" customWidth="1"/>
    <col min="4" max="4" width="71.5703125" customWidth="1"/>
  </cols>
  <sheetData>
    <row r="1" spans="1:3" ht="18.600000000000001">
      <c r="A1" s="7" t="s">
        <v>54</v>
      </c>
      <c r="B1" s="8"/>
      <c r="C1" s="8"/>
    </row>
    <row r="2" spans="1:3">
      <c r="A2" s="2" t="s">
        <v>732</v>
      </c>
      <c r="B2" s="9"/>
      <c r="C2" s="9"/>
    </row>
    <row r="3" spans="1:3">
      <c r="A3" s="380" t="s">
        <v>59</v>
      </c>
      <c r="B3" s="9"/>
      <c r="C3" s="9"/>
    </row>
    <row r="4" spans="1:3">
      <c r="A4" s="39"/>
      <c r="B4" s="9"/>
      <c r="C4" s="9"/>
    </row>
    <row r="5" spans="1:3">
      <c r="A5" s="40" t="s">
        <v>733</v>
      </c>
      <c r="B5" s="45" t="s">
        <v>734</v>
      </c>
      <c r="C5" s="45" t="s">
        <v>735</v>
      </c>
    </row>
    <row r="6" spans="1:3">
      <c r="A6" s="39"/>
      <c r="B6" s="45" t="s">
        <v>736</v>
      </c>
      <c r="C6" s="45" t="s">
        <v>737</v>
      </c>
    </row>
    <row r="7" spans="1:3">
      <c r="A7" s="39"/>
      <c r="B7" s="9"/>
      <c r="C7" s="9"/>
    </row>
    <row r="8" spans="1:3">
      <c r="A8" s="40" t="s">
        <v>738</v>
      </c>
      <c r="B8" s="45" t="s">
        <v>739</v>
      </c>
      <c r="C8" s="45" t="s">
        <v>740</v>
      </c>
    </row>
    <row r="9" spans="1:3">
      <c r="A9" s="41"/>
      <c r="B9" s="45" t="s">
        <v>741</v>
      </c>
      <c r="C9" s="45" t="s">
        <v>742</v>
      </c>
    </row>
    <row r="10" spans="1:3">
      <c r="A10" s="41"/>
      <c r="B10" s="45" t="s">
        <v>743</v>
      </c>
      <c r="C10" s="45" t="s">
        <v>744</v>
      </c>
    </row>
    <row r="11" spans="1:3" ht="26.1">
      <c r="A11" s="41"/>
      <c r="B11" s="45" t="s">
        <v>745</v>
      </c>
      <c r="C11" s="45" t="s">
        <v>746</v>
      </c>
    </row>
    <row r="12" spans="1:3">
      <c r="A12" s="41"/>
      <c r="B12" s="10"/>
      <c r="C12" s="45"/>
    </row>
    <row r="13" spans="1:3">
      <c r="A13" s="40" t="s">
        <v>747</v>
      </c>
      <c r="B13" s="10" t="s">
        <v>748</v>
      </c>
      <c r="C13" s="45" t="s">
        <v>749</v>
      </c>
    </row>
    <row r="14" spans="1:3">
      <c r="A14" s="42"/>
      <c r="B14" s="10" t="s">
        <v>750</v>
      </c>
      <c r="C14" s="45" t="s">
        <v>751</v>
      </c>
    </row>
    <row r="15" spans="1:3">
      <c r="A15" s="42"/>
      <c r="B15" s="10" t="s">
        <v>752</v>
      </c>
      <c r="C15" s="45" t="s">
        <v>753</v>
      </c>
    </row>
    <row r="16" spans="1:3">
      <c r="A16" s="42"/>
      <c r="B16" s="10" t="s">
        <v>526</v>
      </c>
      <c r="C16" s="45" t="s">
        <v>754</v>
      </c>
    </row>
    <row r="17" spans="1:4">
      <c r="A17" s="42"/>
      <c r="B17" s="10"/>
      <c r="C17" s="45"/>
    </row>
    <row r="18" spans="1:4">
      <c r="A18" s="40" t="s">
        <v>755</v>
      </c>
      <c r="B18" s="10" t="s">
        <v>756</v>
      </c>
      <c r="C18" s="45" t="s">
        <v>757</v>
      </c>
    </row>
    <row r="19" spans="1:4">
      <c r="A19" s="42"/>
      <c r="B19" s="42"/>
      <c r="C19" s="42"/>
    </row>
    <row r="20" spans="1:4">
      <c r="A20" s="40" t="s">
        <v>758</v>
      </c>
      <c r="B20" s="10" t="s">
        <v>759</v>
      </c>
      <c r="C20" s="45" t="s">
        <v>760</v>
      </c>
      <c r="D20" s="6"/>
    </row>
    <row r="21" spans="1:4">
      <c r="A21" s="42"/>
      <c r="B21" s="11" t="s">
        <v>761</v>
      </c>
      <c r="C21" s="10" t="s">
        <v>762</v>
      </c>
    </row>
    <row r="22" spans="1:4">
      <c r="A22" s="42"/>
      <c r="B22" s="10"/>
      <c r="C22" s="10"/>
    </row>
    <row r="23" spans="1:4">
      <c r="A23" s="40" t="s">
        <v>763</v>
      </c>
      <c r="B23" s="10" t="s">
        <v>764</v>
      </c>
      <c r="C23" s="10" t="s">
        <v>765</v>
      </c>
    </row>
    <row r="24" spans="1:4">
      <c r="A24" s="40"/>
      <c r="B24" s="10" t="s">
        <v>766</v>
      </c>
      <c r="C24" s="45" t="s">
        <v>767</v>
      </c>
    </row>
    <row r="25" spans="1:4">
      <c r="A25" s="41"/>
      <c r="B25" s="10" t="s">
        <v>768</v>
      </c>
      <c r="C25" s="10" t="s">
        <v>769</v>
      </c>
    </row>
    <row r="26" spans="1:4">
      <c r="A26" s="41"/>
      <c r="B26" s="10" t="s">
        <v>770</v>
      </c>
      <c r="C26" s="10" t="s">
        <v>771</v>
      </c>
    </row>
    <row r="27" spans="1:4">
      <c r="A27" s="41"/>
      <c r="B27" s="10" t="s">
        <v>772</v>
      </c>
      <c r="C27" s="10" t="s">
        <v>773</v>
      </c>
    </row>
    <row r="28" spans="1:4">
      <c r="A28" s="42"/>
      <c r="B28" s="42"/>
      <c r="C28" s="42"/>
    </row>
    <row r="29" spans="1:4">
      <c r="A29" s="40" t="s">
        <v>774</v>
      </c>
      <c r="B29" s="10" t="s">
        <v>775</v>
      </c>
      <c r="C29" s="45" t="s">
        <v>776</v>
      </c>
      <c r="D29" s="6"/>
    </row>
    <row r="30" spans="1:4">
      <c r="A30" s="10"/>
      <c r="B30" s="10"/>
      <c r="C30" s="10"/>
    </row>
    <row r="31" spans="1:4">
      <c r="A31" s="40" t="s">
        <v>777</v>
      </c>
      <c r="B31" s="45" t="s">
        <v>778</v>
      </c>
      <c r="C31" s="45" t="s">
        <v>779</v>
      </c>
    </row>
    <row r="32" spans="1:4">
      <c r="A32" s="41"/>
      <c r="B32" s="45" t="s">
        <v>780</v>
      </c>
      <c r="C32" s="45" t="s">
        <v>781</v>
      </c>
    </row>
    <row r="33" spans="1:4">
      <c r="A33" s="10"/>
      <c r="B33" s="45" t="s">
        <v>782</v>
      </c>
      <c r="C33" s="45" t="s">
        <v>783</v>
      </c>
      <c r="D33" s="6"/>
    </row>
    <row r="34" spans="1:4">
      <c r="A34" s="10"/>
      <c r="B34" s="45" t="s">
        <v>784</v>
      </c>
      <c r="C34" s="45" t="s">
        <v>785</v>
      </c>
      <c r="D34" s="6"/>
    </row>
    <row r="35" spans="1:4">
      <c r="A35" s="42"/>
      <c r="B35" s="42"/>
      <c r="C35" s="42"/>
    </row>
    <row r="36" spans="1:4" ht="26.1">
      <c r="A36" s="40" t="s">
        <v>786</v>
      </c>
      <c r="B36" s="46" t="s">
        <v>787</v>
      </c>
      <c r="C36" s="45" t="s">
        <v>788</v>
      </c>
    </row>
    <row r="37" spans="1:4" ht="26.45">
      <c r="A37" s="42"/>
      <c r="B37" s="48" t="s">
        <v>789</v>
      </c>
      <c r="C37" s="10" t="s">
        <v>790</v>
      </c>
    </row>
    <row r="38" spans="1:4" ht="15">
      <c r="A38" s="41"/>
      <c r="B38" s="44" t="s">
        <v>791</v>
      </c>
      <c r="C38" s="10" t="s">
        <v>792</v>
      </c>
    </row>
    <row r="39" spans="1:4" ht="26.45">
      <c r="A39" s="41"/>
      <c r="B39" s="46" t="s">
        <v>793</v>
      </c>
      <c r="C39" s="10" t="s">
        <v>794</v>
      </c>
    </row>
    <row r="40" spans="1:4">
      <c r="A40" s="41"/>
      <c r="B40" s="10"/>
      <c r="C40" s="10"/>
    </row>
    <row r="41" spans="1:4">
      <c r="A41" s="40" t="s">
        <v>795</v>
      </c>
      <c r="B41" s="10" t="s">
        <v>796</v>
      </c>
      <c r="C41" s="45" t="s">
        <v>797</v>
      </c>
    </row>
    <row r="42" spans="1:4">
      <c r="A42" s="42"/>
      <c r="B42" s="43"/>
      <c r="C42" s="10"/>
    </row>
    <row r="43" spans="1:4" ht="26.1">
      <c r="A43" s="47" t="s">
        <v>798</v>
      </c>
      <c r="B43" s="45" t="s">
        <v>799</v>
      </c>
      <c r="C43" s="45" t="s">
        <v>800</v>
      </c>
    </row>
    <row r="44" spans="1:4" ht="26.1">
      <c r="A44" s="49"/>
      <c r="B44" s="45" t="s">
        <v>801</v>
      </c>
      <c r="C44" s="45" t="s">
        <v>802</v>
      </c>
    </row>
    <row r="45" spans="1:4">
      <c r="A45" s="49"/>
      <c r="B45" s="45" t="s">
        <v>803</v>
      </c>
      <c r="C45" s="45" t="s">
        <v>804</v>
      </c>
    </row>
    <row r="46" spans="1:4" ht="15">
      <c r="A46" s="10"/>
      <c r="B46" s="10" t="s">
        <v>805</v>
      </c>
      <c r="C46" s="10" t="s">
        <v>806</v>
      </c>
    </row>
    <row r="47" spans="1:4">
      <c r="A47" s="10"/>
      <c r="B47" s="10" t="s">
        <v>807</v>
      </c>
      <c r="C47" s="45" t="s">
        <v>808</v>
      </c>
    </row>
    <row r="48" spans="1:4">
      <c r="B48" s="10"/>
      <c r="C48" s="10"/>
    </row>
    <row r="49" spans="1:4" ht="26.1">
      <c r="A49" s="47" t="s">
        <v>809</v>
      </c>
      <c r="B49" s="46" t="s">
        <v>271</v>
      </c>
      <c r="C49" s="45" t="s">
        <v>810</v>
      </c>
    </row>
    <row r="50" spans="1:4">
      <c r="A50" s="41"/>
      <c r="B50" s="45" t="s">
        <v>811</v>
      </c>
      <c r="C50" s="45" t="s">
        <v>812</v>
      </c>
    </row>
    <row r="51" spans="1:4">
      <c r="A51" s="41"/>
      <c r="B51" s="45" t="s">
        <v>813</v>
      </c>
      <c r="C51" s="45" t="s">
        <v>814</v>
      </c>
    </row>
    <row r="52" spans="1:4">
      <c r="A52" s="41"/>
      <c r="B52" s="45"/>
      <c r="C52" s="45"/>
    </row>
    <row r="53" spans="1:4" ht="26.45">
      <c r="A53" s="47" t="s">
        <v>815</v>
      </c>
      <c r="B53" s="48" t="s">
        <v>816</v>
      </c>
      <c r="C53" s="10" t="s">
        <v>817</v>
      </c>
    </row>
    <row r="54" spans="1:4">
      <c r="A54" s="42"/>
      <c r="B54" s="11" t="s">
        <v>818</v>
      </c>
      <c r="C54" s="45" t="s">
        <v>819</v>
      </c>
    </row>
    <row r="55" spans="1:4" ht="26.45">
      <c r="A55" s="42"/>
      <c r="B55" s="48" t="s">
        <v>820</v>
      </c>
      <c r="C55" s="10" t="s">
        <v>821</v>
      </c>
    </row>
    <row r="56" spans="1:4">
      <c r="A56" s="42"/>
      <c r="B56" s="11" t="s">
        <v>822</v>
      </c>
      <c r="C56" s="45" t="s">
        <v>823</v>
      </c>
    </row>
    <row r="57" spans="1:4">
      <c r="A57" s="42"/>
      <c r="B57" s="42"/>
      <c r="C57" s="42"/>
    </row>
    <row r="58" spans="1:4">
      <c r="A58" s="40" t="s">
        <v>824</v>
      </c>
      <c r="B58" s="45" t="s">
        <v>825</v>
      </c>
      <c r="C58" s="45" t="s">
        <v>826</v>
      </c>
      <c r="D58" s="6"/>
    </row>
    <row r="59" spans="1:4">
      <c r="A59" s="41"/>
      <c r="B59" s="45" t="s">
        <v>827</v>
      </c>
      <c r="C59" s="45" t="s">
        <v>828</v>
      </c>
      <c r="D59" s="6"/>
    </row>
    <row r="60" spans="1:4">
      <c r="A60" s="41"/>
      <c r="B60" s="48" t="s">
        <v>829</v>
      </c>
      <c r="C60" s="10" t="s">
        <v>830</v>
      </c>
      <c r="D60" s="6"/>
    </row>
    <row r="61" spans="1:4" ht="26.45">
      <c r="A61" s="41"/>
      <c r="B61" s="48" t="s">
        <v>830</v>
      </c>
      <c r="C61" s="10" t="s">
        <v>831</v>
      </c>
      <c r="D61" s="6"/>
    </row>
    <row r="62" spans="1:4">
      <c r="A62" s="42"/>
      <c r="B62" s="11" t="s">
        <v>832</v>
      </c>
      <c r="C62" s="10" t="s">
        <v>833</v>
      </c>
      <c r="D62" s="6"/>
    </row>
    <row r="63" spans="1:4">
      <c r="A63" s="42"/>
      <c r="B63" s="11"/>
      <c r="C63" s="10"/>
    </row>
    <row r="64" spans="1:4">
      <c r="A64" s="40" t="s">
        <v>834</v>
      </c>
      <c r="B64" s="11" t="s">
        <v>265</v>
      </c>
      <c r="C64" s="10" t="s">
        <v>835</v>
      </c>
    </row>
    <row r="65" spans="1:4">
      <c r="A65" s="42"/>
      <c r="B65" s="11" t="s">
        <v>262</v>
      </c>
      <c r="C65" s="10" t="s">
        <v>836</v>
      </c>
    </row>
    <row r="66" spans="1:4">
      <c r="A66" s="42"/>
      <c r="B66" s="42"/>
      <c r="C66" s="42"/>
    </row>
    <row r="67" spans="1:4">
      <c r="A67" s="40" t="s">
        <v>837</v>
      </c>
      <c r="B67" s="11" t="s">
        <v>838</v>
      </c>
      <c r="C67" s="45" t="s">
        <v>839</v>
      </c>
      <c r="D67" s="6"/>
    </row>
    <row r="68" spans="1:4">
      <c r="A68" s="9"/>
      <c r="B68" s="11" t="s">
        <v>840</v>
      </c>
      <c r="C68" s="45" t="s">
        <v>841</v>
      </c>
    </row>
    <row r="69" spans="1:4">
      <c r="A69" s="9"/>
      <c r="B69" s="11"/>
      <c r="C69" s="45"/>
    </row>
    <row r="70" spans="1:4">
      <c r="A70" s="40" t="s">
        <v>842</v>
      </c>
      <c r="B70" s="11" t="s">
        <v>843</v>
      </c>
      <c r="C70" s="10" t="s">
        <v>844</v>
      </c>
    </row>
    <row r="71" spans="1:4">
      <c r="A71" s="9"/>
      <c r="B71" s="9"/>
      <c r="C71" s="9"/>
    </row>
    <row r="72" spans="1:4">
      <c r="B72" s="45"/>
      <c r="C72" s="45"/>
    </row>
  </sheetData>
  <hyperlinks>
    <hyperlink ref="A3" location="Contents!A1" display="Back to Contents" xr:uid="{10E77B8A-E896-44B5-BF5B-B398BA8CAADE}"/>
  </hyperlinks>
  <pageMargins left="0.19685039370078741" right="0.19685039370078741" top="0.19685039370078741" bottom="0.19685039370078741" header="0.31496062992125984" footer="0.31496062992125984"/>
  <pageSetup paperSize="9" scale="50" fitToHeight="0"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E990-1886-4CDB-9EA9-10AB32DC990D}">
  <sheetPr>
    <tabColor theme="4" tint="-0.249977111117893"/>
    <pageSetUpPr fitToPage="1"/>
  </sheetPr>
  <dimension ref="A1:E117"/>
  <sheetViews>
    <sheetView workbookViewId="0">
      <selection activeCell="B99" sqref="B99"/>
    </sheetView>
  </sheetViews>
  <sheetFormatPr defaultColWidth="9.140625" defaultRowHeight="14.45"/>
  <cols>
    <col min="2" max="2" width="162.140625" customWidth="1"/>
    <col min="3" max="3" width="20.140625" customWidth="1"/>
    <col min="4" max="4" width="20" customWidth="1"/>
    <col min="5" max="5" width="24.7109375" customWidth="1"/>
    <col min="6" max="6" width="25.5703125" customWidth="1"/>
    <col min="7" max="7" width="22.7109375" bestFit="1" customWidth="1"/>
    <col min="8" max="8" width="15.42578125" bestFit="1" customWidth="1"/>
    <col min="9" max="9" width="35.7109375" bestFit="1" customWidth="1"/>
    <col min="10" max="19" width="9.28515625" customWidth="1"/>
    <col min="20" max="20" width="11.42578125" customWidth="1"/>
    <col min="21" max="24" width="12.140625" customWidth="1"/>
    <col min="25" max="25" width="15.42578125" bestFit="1" customWidth="1"/>
  </cols>
  <sheetData>
    <row r="1" spans="1:2" ht="18.600000000000001">
      <c r="A1" s="7" t="s">
        <v>56</v>
      </c>
      <c r="B1" s="7"/>
    </row>
    <row r="2" spans="1:2">
      <c r="A2" s="2" t="s">
        <v>845</v>
      </c>
      <c r="B2" s="89"/>
    </row>
    <row r="3" spans="1:2">
      <c r="A3" s="380" t="s">
        <v>59</v>
      </c>
      <c r="B3" s="89"/>
    </row>
    <row r="4" spans="1:2">
      <c r="A4" s="38"/>
      <c r="B4" s="89"/>
    </row>
    <row r="5" spans="1:2">
      <c r="A5" s="38"/>
      <c r="B5" s="292"/>
    </row>
    <row r="6" spans="1:2">
      <c r="A6" s="2" t="s">
        <v>846</v>
      </c>
      <c r="B6" s="2"/>
    </row>
    <row r="7" spans="1:2">
      <c r="A7" s="2"/>
      <c r="B7" s="2" t="s">
        <v>847</v>
      </c>
    </row>
    <row r="8" spans="1:2">
      <c r="A8" s="2"/>
      <c r="B8" s="2"/>
    </row>
    <row r="9" spans="1:2">
      <c r="A9" s="2" t="s">
        <v>848</v>
      </c>
      <c r="B9" s="2"/>
    </row>
    <row r="10" spans="1:2">
      <c r="A10" s="2"/>
      <c r="B10" s="2" t="s">
        <v>849</v>
      </c>
    </row>
    <row r="11" spans="1:2">
      <c r="A11" s="2"/>
      <c r="B11" s="90" t="s">
        <v>850</v>
      </c>
    </row>
    <row r="12" spans="1:2">
      <c r="A12" s="2"/>
      <c r="B12" s="186"/>
    </row>
    <row r="13" spans="1:2">
      <c r="A13" s="2" t="s">
        <v>851</v>
      </c>
      <c r="B13" s="2"/>
    </row>
    <row r="14" spans="1:2">
      <c r="A14" s="2"/>
      <c r="B14" s="2" t="s">
        <v>852</v>
      </c>
    </row>
    <row r="15" spans="1:2">
      <c r="A15" s="2"/>
      <c r="B15" s="90" t="s">
        <v>853</v>
      </c>
    </row>
    <row r="16" spans="1:2">
      <c r="A16" s="2"/>
      <c r="B16" s="2"/>
    </row>
    <row r="17" spans="1:4">
      <c r="A17" s="2" t="s">
        <v>854</v>
      </c>
      <c r="B17" s="2"/>
    </row>
    <row r="18" spans="1:4">
      <c r="A18" s="2"/>
      <c r="B18" s="2" t="s">
        <v>855</v>
      </c>
    </row>
    <row r="19" spans="1:4">
      <c r="A19" s="2"/>
      <c r="B19" s="90" t="s">
        <v>856</v>
      </c>
      <c r="D19" s="110"/>
    </row>
    <row r="20" spans="1:4">
      <c r="A20" s="2"/>
      <c r="B20" s="90"/>
      <c r="D20" s="110"/>
    </row>
    <row r="21" spans="1:4">
      <c r="A21" s="2" t="s">
        <v>857</v>
      </c>
      <c r="B21" s="90"/>
      <c r="C21" s="89"/>
      <c r="D21" s="110"/>
    </row>
    <row r="22" spans="1:4">
      <c r="A22" s="2"/>
      <c r="B22" s="2" t="s">
        <v>858</v>
      </c>
      <c r="D22" s="110"/>
    </row>
    <row r="23" spans="1:4">
      <c r="A23" s="2"/>
      <c r="B23" s="90" t="s">
        <v>859</v>
      </c>
      <c r="D23" s="110"/>
    </row>
    <row r="24" spans="1:4">
      <c r="A24" s="2"/>
      <c r="B24" s="90"/>
      <c r="D24" s="110"/>
    </row>
    <row r="25" spans="1:4" ht="15">
      <c r="A25" s="2" t="s">
        <v>860</v>
      </c>
      <c r="B25" s="90"/>
      <c r="D25" s="110"/>
    </row>
    <row r="26" spans="1:4">
      <c r="A26" s="2"/>
      <c r="B26" s="2" t="s">
        <v>861</v>
      </c>
      <c r="D26" s="110"/>
    </row>
    <row r="27" spans="1:4">
      <c r="A27" s="2"/>
      <c r="B27" s="90" t="s">
        <v>862</v>
      </c>
      <c r="D27" s="110"/>
    </row>
    <row r="28" spans="1:4">
      <c r="A28" s="2"/>
      <c r="B28" s="90"/>
      <c r="D28" s="110"/>
    </row>
    <row r="29" spans="1:4">
      <c r="A29" s="2" t="s">
        <v>863</v>
      </c>
      <c r="B29" s="90"/>
      <c r="D29" s="110"/>
    </row>
    <row r="30" spans="1:4">
      <c r="A30" s="2"/>
      <c r="B30" s="2" t="s">
        <v>864</v>
      </c>
      <c r="D30" s="110"/>
    </row>
    <row r="31" spans="1:4">
      <c r="A31" s="2"/>
      <c r="B31" s="90" t="s">
        <v>865</v>
      </c>
      <c r="D31" s="110"/>
    </row>
    <row r="32" spans="1:4">
      <c r="A32" s="2"/>
      <c r="B32" s="2"/>
      <c r="D32" s="110"/>
    </row>
    <row r="33" spans="1:4" ht="15">
      <c r="A33" s="132" t="s">
        <v>866</v>
      </c>
      <c r="B33" s="2"/>
      <c r="D33" s="111"/>
    </row>
    <row r="34" spans="1:4">
      <c r="A34" s="2"/>
      <c r="B34" s="2" t="s">
        <v>867</v>
      </c>
      <c r="D34" s="111"/>
    </row>
    <row r="35" spans="1:4">
      <c r="A35" s="2"/>
      <c r="B35" s="2" t="s">
        <v>868</v>
      </c>
      <c r="D35" s="111"/>
    </row>
    <row r="36" spans="1:4">
      <c r="A36" s="2"/>
      <c r="B36" s="90" t="s">
        <v>869</v>
      </c>
      <c r="D36" s="111"/>
    </row>
    <row r="37" spans="1:4">
      <c r="A37" s="2"/>
      <c r="D37" s="111"/>
    </row>
    <row r="38" spans="1:4">
      <c r="A38" s="2" t="s">
        <v>870</v>
      </c>
      <c r="B38" s="2"/>
    </row>
    <row r="39" spans="1:4">
      <c r="A39" s="2"/>
      <c r="B39" s="2" t="s">
        <v>871</v>
      </c>
    </row>
    <row r="40" spans="1:4">
      <c r="A40" s="2"/>
      <c r="B40" s="90" t="s">
        <v>872</v>
      </c>
    </row>
    <row r="41" spans="1:4">
      <c r="A41" s="2"/>
      <c r="B41" s="90"/>
    </row>
    <row r="42" spans="1:4">
      <c r="A42" s="151" t="s">
        <v>873</v>
      </c>
      <c r="B42" s="296"/>
    </row>
    <row r="43" spans="1:4">
      <c r="A43" s="151"/>
      <c r="B43" s="151" t="s">
        <v>874</v>
      </c>
    </row>
    <row r="44" spans="1:4">
      <c r="A44" s="2"/>
      <c r="B44" s="90" t="s">
        <v>875</v>
      </c>
    </row>
    <row r="45" spans="1:4">
      <c r="A45" s="2"/>
      <c r="B45" s="6"/>
      <c r="C45" s="133"/>
    </row>
    <row r="46" spans="1:4">
      <c r="A46" s="2" t="s">
        <v>876</v>
      </c>
      <c r="B46" s="90"/>
    </row>
    <row r="47" spans="1:4">
      <c r="A47" s="2"/>
      <c r="B47" s="2" t="s">
        <v>877</v>
      </c>
    </row>
    <row r="48" spans="1:4">
      <c r="A48" s="2"/>
      <c r="B48" s="90" t="s">
        <v>878</v>
      </c>
    </row>
    <row r="49" spans="1:2">
      <c r="A49" s="2"/>
      <c r="B49" s="90"/>
    </row>
    <row r="50" spans="1:2">
      <c r="A50" s="11" t="s">
        <v>879</v>
      </c>
      <c r="B50" s="90"/>
    </row>
    <row r="51" spans="1:2">
      <c r="A51" s="2"/>
      <c r="B51" s="2" t="s">
        <v>880</v>
      </c>
    </row>
    <row r="52" spans="1:2">
      <c r="A52" s="2"/>
      <c r="B52" s="90" t="s">
        <v>881</v>
      </c>
    </row>
    <row r="53" spans="1:2">
      <c r="A53" s="2"/>
      <c r="B53" s="90"/>
    </row>
    <row r="54" spans="1:2">
      <c r="A54" s="2" t="s">
        <v>882</v>
      </c>
      <c r="B54" s="90"/>
    </row>
    <row r="55" spans="1:2">
      <c r="A55" s="2"/>
      <c r="B55" s="2" t="s">
        <v>883</v>
      </c>
    </row>
    <row r="56" spans="1:2">
      <c r="A56" s="2"/>
      <c r="B56" s="2" t="s">
        <v>884</v>
      </c>
    </row>
    <row r="57" spans="1:2">
      <c r="A57" s="2"/>
      <c r="B57" s="92" t="s">
        <v>885</v>
      </c>
    </row>
    <row r="58" spans="1:2">
      <c r="A58" s="2"/>
      <c r="B58" s="92"/>
    </row>
    <row r="59" spans="1:2">
      <c r="A59" s="151" t="s">
        <v>886</v>
      </c>
      <c r="B59" s="297"/>
    </row>
    <row r="60" spans="1:2">
      <c r="A60" s="151"/>
      <c r="B60" s="151" t="s">
        <v>887</v>
      </c>
    </row>
    <row r="61" spans="1:2">
      <c r="A61" s="2"/>
      <c r="B61" s="92" t="s">
        <v>888</v>
      </c>
    </row>
    <row r="62" spans="1:2">
      <c r="A62" s="2"/>
      <c r="B62" s="92"/>
    </row>
    <row r="63" spans="1:2">
      <c r="A63" s="2" t="s">
        <v>889</v>
      </c>
      <c r="B63" s="92"/>
    </row>
    <row r="64" spans="1:2">
      <c r="A64" s="2"/>
      <c r="B64" s="2" t="s">
        <v>890</v>
      </c>
    </row>
    <row r="65" spans="1:3">
      <c r="A65" s="2"/>
      <c r="B65" s="92" t="s">
        <v>891</v>
      </c>
    </row>
    <row r="66" spans="1:3">
      <c r="A66" s="2"/>
      <c r="B66" s="92"/>
    </row>
    <row r="67" spans="1:3">
      <c r="A67" s="2" t="s">
        <v>892</v>
      </c>
      <c r="B67" s="2"/>
      <c r="C67" s="112"/>
    </row>
    <row r="68" spans="1:3">
      <c r="A68" s="2"/>
      <c r="B68" s="2" t="s">
        <v>893</v>
      </c>
      <c r="C68" s="112"/>
    </row>
    <row r="69" spans="1:3">
      <c r="A69" s="2"/>
      <c r="B69" s="90" t="s">
        <v>894</v>
      </c>
    </row>
    <row r="70" spans="1:3">
      <c r="A70" s="2"/>
      <c r="B70" s="90"/>
    </row>
    <row r="71" spans="1:3">
      <c r="A71" s="2" t="s">
        <v>895</v>
      </c>
      <c r="B71" s="90"/>
    </row>
    <row r="72" spans="1:3">
      <c r="A72" s="2"/>
      <c r="B72" s="90" t="s">
        <v>896</v>
      </c>
    </row>
    <row r="73" spans="1:3">
      <c r="A73" s="2"/>
      <c r="B73" s="90"/>
    </row>
    <row r="74" spans="1:3">
      <c r="A74" s="151" t="s">
        <v>897</v>
      </c>
      <c r="B74" s="296"/>
    </row>
    <row r="75" spans="1:3">
      <c r="A75" s="151"/>
      <c r="B75" s="151" t="s">
        <v>898</v>
      </c>
    </row>
    <row r="76" spans="1:3">
      <c r="A76" s="2"/>
      <c r="B76" s="90" t="s">
        <v>899</v>
      </c>
    </row>
    <row r="77" spans="1:3">
      <c r="A77" s="2"/>
    </row>
    <row r="78" spans="1:3">
      <c r="A78" s="2" t="s">
        <v>900</v>
      </c>
    </row>
    <row r="79" spans="1:3">
      <c r="A79" s="2"/>
      <c r="B79" s="151" t="s">
        <v>901</v>
      </c>
    </row>
    <row r="80" spans="1:3">
      <c r="A80" s="2"/>
      <c r="B80" s="90" t="s">
        <v>478</v>
      </c>
    </row>
    <row r="81" spans="1:4">
      <c r="A81" s="2"/>
    </row>
    <row r="82" spans="1:4">
      <c r="A82" s="2" t="s">
        <v>902</v>
      </c>
      <c r="B82" s="90"/>
    </row>
    <row r="83" spans="1:4">
      <c r="A83" s="91"/>
      <c r="B83" s="2" t="s">
        <v>903</v>
      </c>
      <c r="C83" s="109"/>
      <c r="D83" s="112"/>
    </row>
    <row r="84" spans="1:4">
      <c r="A84" s="91"/>
      <c r="B84" s="92" t="s">
        <v>904</v>
      </c>
      <c r="C84" s="109"/>
      <c r="D84" s="112"/>
    </row>
    <row r="85" spans="1:4">
      <c r="A85" s="91"/>
      <c r="B85" s="92"/>
      <c r="C85" s="109"/>
      <c r="D85" s="112"/>
    </row>
    <row r="86" spans="1:4">
      <c r="A86" s="2" t="s">
        <v>905</v>
      </c>
      <c r="B86" s="92"/>
      <c r="C86" s="2"/>
      <c r="D86" s="112"/>
    </row>
    <row r="87" spans="1:4">
      <c r="A87" s="2"/>
      <c r="B87" s="2" t="s">
        <v>906</v>
      </c>
      <c r="C87" s="109"/>
      <c r="D87" s="112"/>
    </row>
    <row r="88" spans="1:4">
      <c r="A88" s="2"/>
      <c r="B88" s="92" t="s">
        <v>907</v>
      </c>
      <c r="C88" s="109"/>
      <c r="D88" s="112"/>
    </row>
    <row r="89" spans="1:4">
      <c r="A89" s="91"/>
      <c r="B89" s="92"/>
      <c r="C89" s="109"/>
      <c r="D89" s="112"/>
    </row>
    <row r="90" spans="1:4">
      <c r="A90" s="2" t="s">
        <v>908</v>
      </c>
      <c r="B90" s="92"/>
      <c r="C90" s="109"/>
      <c r="D90" s="112"/>
    </row>
    <row r="91" spans="1:4">
      <c r="A91" s="2"/>
      <c r="B91" s="2" t="s">
        <v>909</v>
      </c>
      <c r="C91" s="109"/>
      <c r="D91" s="112"/>
    </row>
    <row r="92" spans="1:4">
      <c r="A92" s="2"/>
      <c r="B92" s="92" t="s">
        <v>910</v>
      </c>
      <c r="C92" s="109"/>
      <c r="D92" s="112"/>
    </row>
    <row r="93" spans="1:4">
      <c r="A93" s="2"/>
      <c r="B93" s="92"/>
      <c r="C93" s="109"/>
      <c r="D93" s="112"/>
    </row>
    <row r="94" spans="1:4">
      <c r="A94" s="2" t="s">
        <v>911</v>
      </c>
      <c r="B94" s="92"/>
      <c r="C94" s="109"/>
      <c r="D94" s="112"/>
    </row>
    <row r="95" spans="1:4">
      <c r="A95" s="2"/>
      <c r="B95" s="2" t="s">
        <v>912</v>
      </c>
      <c r="C95" s="109"/>
      <c r="D95" s="112"/>
    </row>
    <row r="96" spans="1:4">
      <c r="A96" s="91"/>
      <c r="B96" s="92" t="s">
        <v>913</v>
      </c>
      <c r="C96" s="109"/>
      <c r="D96" s="112"/>
    </row>
    <row r="97" spans="1:4">
      <c r="A97" s="91"/>
      <c r="B97" s="92"/>
      <c r="C97" s="109"/>
      <c r="D97" s="112"/>
    </row>
    <row r="98" spans="1:4">
      <c r="A98" s="2" t="s">
        <v>914</v>
      </c>
      <c r="B98" s="92"/>
      <c r="C98" s="109"/>
      <c r="D98" s="112"/>
    </row>
    <row r="99" spans="1:4">
      <c r="A99" s="2"/>
      <c r="B99" s="90" t="s">
        <v>915</v>
      </c>
      <c r="C99" s="109"/>
      <c r="D99" s="112"/>
    </row>
    <row r="100" spans="1:4">
      <c r="A100" s="2"/>
      <c r="B100" s="92"/>
      <c r="C100" s="109"/>
      <c r="D100" s="112"/>
    </row>
    <row r="101" spans="1:4" ht="16.5" customHeight="1">
      <c r="A101" s="2" t="s">
        <v>916</v>
      </c>
      <c r="B101" s="2"/>
    </row>
    <row r="102" spans="1:4" ht="16.5" customHeight="1">
      <c r="A102" s="2"/>
      <c r="B102" s="2" t="s">
        <v>917</v>
      </c>
    </row>
    <row r="103" spans="1:4" ht="16.5" customHeight="1">
      <c r="A103" s="2"/>
      <c r="B103" s="90" t="s">
        <v>918</v>
      </c>
    </row>
    <row r="104" spans="1:4" ht="14.45" customHeight="1">
      <c r="A104" s="2"/>
      <c r="B104" s="90"/>
    </row>
    <row r="105" spans="1:4" ht="16.5" customHeight="1">
      <c r="A105" s="2" t="s">
        <v>919</v>
      </c>
      <c r="B105" s="90"/>
    </row>
    <row r="106" spans="1:4" ht="16.5" customHeight="1">
      <c r="A106" s="2"/>
      <c r="B106" s="2" t="s">
        <v>920</v>
      </c>
    </row>
    <row r="107" spans="1:4" ht="16.5" customHeight="1">
      <c r="A107" s="2"/>
      <c r="B107" s="90" t="s">
        <v>921</v>
      </c>
    </row>
    <row r="108" spans="1:4" ht="14.45" customHeight="1">
      <c r="A108" s="2"/>
      <c r="B108" s="90"/>
    </row>
    <row r="109" spans="1:4" ht="16.5" customHeight="1">
      <c r="A109" s="2" t="s">
        <v>922</v>
      </c>
      <c r="B109" s="2"/>
    </row>
    <row r="110" spans="1:4" ht="14.45" customHeight="1">
      <c r="A110" s="3"/>
      <c r="B110" s="2" t="s">
        <v>923</v>
      </c>
      <c r="C110" s="2"/>
    </row>
    <row r="111" spans="1:4" ht="16.5" customHeight="1">
      <c r="A111" s="2"/>
      <c r="B111" s="90" t="s">
        <v>924</v>
      </c>
      <c r="C111" s="2"/>
    </row>
    <row r="112" spans="1:4">
      <c r="A112" s="3"/>
      <c r="B112" s="2"/>
    </row>
    <row r="113" spans="1:5">
      <c r="A113" s="3"/>
      <c r="B113" s="2"/>
    </row>
    <row r="114" spans="1:5">
      <c r="E114" s="310"/>
    </row>
    <row r="115" spans="1:5">
      <c r="B115" s="311"/>
      <c r="C115" s="312"/>
      <c r="D115" s="311"/>
    </row>
    <row r="116" spans="1:5">
      <c r="A116" s="91"/>
    </row>
    <row r="117" spans="1:5">
      <c r="A117" s="9"/>
      <c r="B117" s="9"/>
    </row>
  </sheetData>
  <hyperlinks>
    <hyperlink ref="A3" location="Contents!A1" display="Back to Contents" xr:uid="{EF5DD9DE-0FA6-48FC-A121-36E0733DF42B}"/>
    <hyperlink ref="B40" r:id="rId1" xr:uid="{54E98C76-7D35-4C63-B10C-C5724252C77D}"/>
    <hyperlink ref="B19" r:id="rId2" xr:uid="{5921C5F2-99D9-4EE5-B7EF-6300D291150E}"/>
    <hyperlink ref="B57" r:id="rId3" xr:uid="{695462FD-81DA-4885-B922-BFCB62C7231E}"/>
    <hyperlink ref="B15" r:id="rId4" xr:uid="{0DA15CE6-0A96-4082-969A-9A0DD8FEA532}"/>
    <hyperlink ref="B27" r:id="rId5" xr:uid="{A4303A16-31B9-4826-84BF-A57269286511}"/>
    <hyperlink ref="B36" r:id="rId6" xr:uid="{E9B9FE45-A95B-4CCE-A77B-43B649FC9B02}"/>
    <hyperlink ref="B76" r:id="rId7" xr:uid="{306B9629-84D3-4612-8AAF-6C43E97E1CD7}"/>
    <hyperlink ref="B103" r:id="rId8" tooltip="Persistent link using digital object identifier" xr:uid="{5EBD37E1-315D-41DA-9E2C-4C113B4298FF}"/>
    <hyperlink ref="B111" r:id="rId9" xr:uid="{15544BC3-E10D-4DFB-A415-12354F4D7A5A}"/>
    <hyperlink ref="B84" r:id="rId10" xr:uid="{FF7B3CBE-E7E4-4133-A645-1362969E4814}"/>
    <hyperlink ref="B11" r:id="rId11" xr:uid="{D6243582-A276-49F9-8D58-ADD0C27F8779}"/>
    <hyperlink ref="B31" r:id="rId12" xr:uid="{CC93DABC-B752-46C3-82FC-510BB19C2849}"/>
    <hyperlink ref="B99" r:id="rId13" xr:uid="{D172E280-6904-48B5-BA24-4D179C03BFB8}"/>
    <hyperlink ref="B107" r:id="rId14" xr:uid="{806C73B8-F8F7-45BA-AD9E-D90A11B50C03}"/>
    <hyperlink ref="B65" r:id="rId15" xr:uid="{D0E2F4ED-6842-45C6-BF06-BF322E2111B8}"/>
  </hyperlinks>
  <pageMargins left="0.15748031496062992" right="0.15748031496062992" top="0.35433070866141736" bottom="0.35433070866141736" header="0.31496062992125984" footer="0.31496062992125984"/>
  <pageSetup paperSize="9" scale="62" orientation="portrait" horizontalDpi="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5AF1-53BC-4961-BEA8-2DA47DD8B7C5}">
  <sheetPr>
    <tabColor theme="4" tint="-0.249977111117893"/>
  </sheetPr>
  <dimension ref="A1:E51"/>
  <sheetViews>
    <sheetView zoomScaleNormal="100" workbookViewId="0">
      <selection activeCell="B52" sqref="B52"/>
    </sheetView>
  </sheetViews>
  <sheetFormatPr defaultColWidth="9.28515625" defaultRowHeight="14.45"/>
  <cols>
    <col min="1" max="1" width="6.7109375" style="9" customWidth="1"/>
    <col min="2" max="2" width="8.42578125" style="9" customWidth="1"/>
    <col min="3" max="3" width="13.85546875" style="9" customWidth="1"/>
    <col min="4" max="4" width="125.5703125" style="9" customWidth="1"/>
    <col min="5" max="16384" width="9.28515625" style="9"/>
  </cols>
  <sheetData>
    <row r="1" spans="1:4" ht="18.600000000000001">
      <c r="A1" s="7" t="s">
        <v>5</v>
      </c>
      <c r="B1" s="8"/>
      <c r="C1" s="8"/>
      <c r="D1" s="8"/>
    </row>
    <row r="2" spans="1:4">
      <c r="A2" s="9" t="s">
        <v>58</v>
      </c>
    </row>
    <row r="3" spans="1:4">
      <c r="A3" s="380" t="s">
        <v>59</v>
      </c>
    </row>
    <row r="4" spans="1:4">
      <c r="A4" s="38"/>
    </row>
    <row r="5" spans="1:4">
      <c r="A5" s="9" t="s">
        <v>60</v>
      </c>
    </row>
    <row r="6" spans="1:4">
      <c r="A6" s="9" t="s">
        <v>61</v>
      </c>
    </row>
    <row r="8" spans="1:4" ht="15.6">
      <c r="A8" s="381" t="s">
        <v>62</v>
      </c>
      <c r="B8" s="382"/>
    </row>
    <row r="9" spans="1:4">
      <c r="B9" s="9" t="s">
        <v>63</v>
      </c>
      <c r="C9" s="383"/>
    </row>
    <row r="10" spans="1:4">
      <c r="C10" s="383"/>
    </row>
    <row r="11" spans="1:4">
      <c r="C11" s="9" t="s">
        <v>64</v>
      </c>
    </row>
    <row r="12" spans="1:4">
      <c r="C12" s="9" t="s">
        <v>65</v>
      </c>
    </row>
    <row r="13" spans="1:4">
      <c r="C13" s="9" t="s">
        <v>66</v>
      </c>
    </row>
    <row r="14" spans="1:4">
      <c r="C14" s="9" t="s">
        <v>67</v>
      </c>
    </row>
    <row r="15" spans="1:4">
      <c r="C15" s="9" t="s">
        <v>68</v>
      </c>
    </row>
    <row r="16" spans="1:4">
      <c r="C16" s="9" t="s">
        <v>69</v>
      </c>
    </row>
    <row r="17" spans="1:5">
      <c r="C17" s="9" t="s">
        <v>70</v>
      </c>
      <c r="E17" s="383"/>
    </row>
    <row r="18" spans="1:5">
      <c r="C18" s="9" t="s">
        <v>71</v>
      </c>
    </row>
    <row r="20" spans="1:5">
      <c r="B20" s="384"/>
    </row>
    <row r="21" spans="1:5" ht="15.6">
      <c r="A21" s="381" t="s">
        <v>72</v>
      </c>
      <c r="B21" s="382"/>
      <c r="C21" s="383"/>
    </row>
    <row r="22" spans="1:5">
      <c r="B22" s="9" t="s">
        <v>73</v>
      </c>
    </row>
    <row r="24" spans="1:5" ht="16.5">
      <c r="C24" s="9" t="s">
        <v>74</v>
      </c>
      <c r="D24" s="9" t="s">
        <v>75</v>
      </c>
    </row>
    <row r="25" spans="1:5" ht="16.5">
      <c r="C25" s="9" t="s">
        <v>76</v>
      </c>
      <c r="D25" s="9" t="s">
        <v>77</v>
      </c>
    </row>
    <row r="27" spans="1:5" ht="15.6">
      <c r="A27" s="381" t="s">
        <v>78</v>
      </c>
      <c r="B27" s="382"/>
      <c r="C27" s="383"/>
    </row>
    <row r="28" spans="1:5">
      <c r="B28" s="9" t="s">
        <v>79</v>
      </c>
    </row>
    <row r="30" spans="1:5" ht="15.6">
      <c r="B30" s="381" t="s">
        <v>80</v>
      </c>
    </row>
    <row r="31" spans="1:5" ht="16.5">
      <c r="C31" s="9" t="s">
        <v>81</v>
      </c>
    </row>
    <row r="32" spans="1:5" ht="16.5">
      <c r="C32" s="9" t="s">
        <v>82</v>
      </c>
    </row>
    <row r="33" spans="1:3">
      <c r="C33" s="383"/>
    </row>
    <row r="34" spans="1:3" ht="15.6">
      <c r="B34" s="381" t="s">
        <v>83</v>
      </c>
    </row>
    <row r="35" spans="1:3" ht="16.5">
      <c r="C35" s="9" t="s">
        <v>84</v>
      </c>
    </row>
    <row r="36" spans="1:3" ht="16.5">
      <c r="C36" s="9" t="s">
        <v>85</v>
      </c>
    </row>
    <row r="37" spans="1:3" ht="16.5">
      <c r="C37" s="385" t="s">
        <v>86</v>
      </c>
    </row>
    <row r="38" spans="1:3" ht="16.5">
      <c r="C38" s="9" t="s">
        <v>87</v>
      </c>
    </row>
    <row r="40" spans="1:3" ht="15.6">
      <c r="A40" s="381" t="s">
        <v>23</v>
      </c>
    </row>
    <row r="41" spans="1:3">
      <c r="B41" s="9" t="s">
        <v>88</v>
      </c>
    </row>
    <row r="43" spans="1:3" ht="15.6">
      <c r="A43" s="381" t="s">
        <v>89</v>
      </c>
    </row>
    <row r="44" spans="1:3">
      <c r="B44" s="9" t="s">
        <v>90</v>
      </c>
    </row>
    <row r="45" spans="1:3">
      <c r="B45" s="9" t="s">
        <v>91</v>
      </c>
    </row>
    <row r="47" spans="1:3" ht="15.6">
      <c r="A47" s="381" t="s">
        <v>92</v>
      </c>
    </row>
    <row r="48" spans="1:3">
      <c r="B48" s="382" t="s">
        <v>93</v>
      </c>
    </row>
    <row r="50" spans="1:2" ht="15.6">
      <c r="A50" s="381" t="s">
        <v>94</v>
      </c>
    </row>
    <row r="51" spans="1:2">
      <c r="B51" s="9" t="s">
        <v>95</v>
      </c>
    </row>
  </sheetData>
  <hyperlinks>
    <hyperlink ref="A3" location="Contents!A1" display="Back to Contents" xr:uid="{C519D333-7956-4DF9-B8AA-F3BFCAAC4A70}"/>
  </hyperlink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C51E-CB0A-4283-AB8F-187205BFB6DC}">
  <sheetPr codeName="Sheet4">
    <tabColor theme="8" tint="0.59999389629810485"/>
  </sheetPr>
  <dimension ref="A1:O54"/>
  <sheetViews>
    <sheetView zoomScaleNormal="100" workbookViewId="0">
      <selection activeCell="F37" sqref="F37:G38"/>
    </sheetView>
  </sheetViews>
  <sheetFormatPr defaultColWidth="9.140625" defaultRowHeight="15" customHeight="1"/>
  <cols>
    <col min="1" max="1" width="9.85546875" style="388" customWidth="1"/>
    <col min="2" max="2" width="67.140625" style="388" customWidth="1"/>
    <col min="3" max="4" width="11.42578125" style="388" customWidth="1"/>
    <col min="5" max="5" width="13.85546875" style="388" customWidth="1"/>
    <col min="6" max="7" width="11.85546875" style="388" customWidth="1"/>
    <col min="8" max="9" width="11.42578125" style="388" customWidth="1"/>
    <col min="10" max="10" width="17" style="388" bestFit="1" customWidth="1"/>
    <col min="11" max="12" width="11.85546875" style="388" customWidth="1"/>
    <col min="13" max="16384" width="9.140625" style="388"/>
  </cols>
  <sheetData>
    <row r="1" spans="1:12" ht="18.600000000000001">
      <c r="A1" s="386" t="s">
        <v>96</v>
      </c>
      <c r="B1" s="387"/>
      <c r="C1" s="387"/>
      <c r="D1" s="387"/>
      <c r="E1" s="387"/>
      <c r="F1" s="387"/>
      <c r="G1" s="387"/>
      <c r="H1" s="387"/>
      <c r="I1" s="387"/>
      <c r="J1" s="387"/>
      <c r="K1" s="387"/>
      <c r="L1" s="387"/>
    </row>
    <row r="2" spans="1:12" ht="14.45">
      <c r="A2" s="388" t="s">
        <v>97</v>
      </c>
    </row>
    <row r="3" spans="1:12" ht="14.45">
      <c r="A3" s="388" t="s">
        <v>9</v>
      </c>
    </row>
    <row r="4" spans="1:12" ht="15" customHeight="1">
      <c r="A4" s="553" t="s">
        <v>98</v>
      </c>
    </row>
    <row r="5" spans="1:12" ht="15" customHeight="1">
      <c r="A5" s="389" t="s">
        <v>59</v>
      </c>
    </row>
    <row r="7" spans="1:12" ht="15" customHeight="1">
      <c r="B7" s="79" t="s">
        <v>99</v>
      </c>
      <c r="C7" s="708" t="str">
        <f>ERFs!C7</f>
        <v>Relative risk factor</v>
      </c>
      <c r="D7" s="709"/>
      <c r="E7" s="709"/>
      <c r="F7" s="709"/>
      <c r="G7" s="710"/>
      <c r="H7" s="711" t="s">
        <v>100</v>
      </c>
      <c r="I7" s="712"/>
      <c r="J7" s="712"/>
      <c r="K7" s="712"/>
      <c r="L7" s="713"/>
    </row>
    <row r="8" spans="1:12" ht="15" customHeight="1">
      <c r="B8" s="12" t="s">
        <v>101</v>
      </c>
      <c r="C8" s="13" t="s">
        <v>102</v>
      </c>
      <c r="D8" s="14" t="s">
        <v>103</v>
      </c>
      <c r="E8" s="390" t="s">
        <v>104</v>
      </c>
      <c r="F8" s="51" t="s">
        <v>105</v>
      </c>
      <c r="G8" s="51" t="s">
        <v>106</v>
      </c>
      <c r="H8" s="13" t="s">
        <v>102</v>
      </c>
      <c r="I8" s="14" t="s">
        <v>103</v>
      </c>
      <c r="J8" s="390" t="s">
        <v>104</v>
      </c>
      <c r="K8" s="51" t="s">
        <v>105</v>
      </c>
      <c r="L8" s="51" t="s">
        <v>106</v>
      </c>
    </row>
    <row r="9" spans="1:12" ht="15" customHeight="1">
      <c r="B9" s="15" t="s">
        <v>107</v>
      </c>
      <c r="C9" s="16"/>
      <c r="D9" s="17"/>
      <c r="E9" s="391"/>
      <c r="F9" s="17"/>
      <c r="G9" s="17"/>
      <c r="H9" s="16"/>
      <c r="I9" s="17"/>
      <c r="J9" s="391"/>
      <c r="K9" s="17"/>
      <c r="L9" s="17"/>
    </row>
    <row r="10" spans="1:12" ht="15" customHeight="1">
      <c r="B10" s="18" t="s">
        <v>108</v>
      </c>
      <c r="C10" s="19"/>
      <c r="D10" s="20"/>
      <c r="F10" s="20"/>
      <c r="G10" s="20"/>
      <c r="H10" s="21"/>
      <c r="I10" s="21"/>
      <c r="J10" s="392"/>
      <c r="K10" s="20"/>
      <c r="L10" s="20"/>
    </row>
    <row r="11" spans="1:12" ht="15" customHeight="1">
      <c r="B11" s="22" t="s">
        <v>109</v>
      </c>
      <c r="C11" s="23">
        <f>ERFs!C11</f>
        <v>1.105</v>
      </c>
      <c r="D11" s="393">
        <v>1.105</v>
      </c>
      <c r="E11" s="66" t="s">
        <v>110</v>
      </c>
      <c r="F11" s="394">
        <f>ERFs!E11</f>
        <v>1.0649999999999999</v>
      </c>
      <c r="G11" s="394">
        <f>ERFs!F11</f>
        <v>1.145</v>
      </c>
      <c r="H11" s="395">
        <f>Costs!C11</f>
        <v>15691757</v>
      </c>
      <c r="I11" s="396">
        <v>15691757</v>
      </c>
      <c r="J11" s="66" t="s">
        <v>111</v>
      </c>
      <c r="K11" s="397">
        <f>Costs!E11</f>
        <v>10168258</v>
      </c>
      <c r="L11" s="397">
        <f>Costs!F11</f>
        <v>21215255</v>
      </c>
    </row>
    <row r="12" spans="1:12" ht="15" customHeight="1">
      <c r="B12" s="25" t="s">
        <v>112</v>
      </c>
      <c r="C12" s="23"/>
      <c r="D12" s="398"/>
      <c r="E12" s="66"/>
      <c r="F12" s="394"/>
      <c r="G12" s="394"/>
      <c r="H12" s="395"/>
      <c r="I12" s="398"/>
      <c r="J12" s="66"/>
      <c r="K12" s="399"/>
      <c r="L12" s="399"/>
    </row>
    <row r="13" spans="1:12" ht="15" customHeight="1">
      <c r="B13" s="22" t="s">
        <v>113</v>
      </c>
      <c r="C13" s="23">
        <f>ERFs!C13</f>
        <v>1.105</v>
      </c>
      <c r="D13" s="393">
        <v>1.105</v>
      </c>
      <c r="E13" s="66" t="s">
        <v>110</v>
      </c>
      <c r="F13" s="394">
        <f>ERFs!E13</f>
        <v>1.0649999999999999</v>
      </c>
      <c r="G13" s="394">
        <f>ERFs!F13</f>
        <v>1.145</v>
      </c>
      <c r="H13" s="395">
        <f>Costs!C13</f>
        <v>914488</v>
      </c>
      <c r="I13" s="396">
        <v>914488</v>
      </c>
      <c r="J13" s="66" t="s">
        <v>114</v>
      </c>
      <c r="K13" s="397">
        <f>Costs!E13</f>
        <v>80016</v>
      </c>
      <c r="L13" s="397">
        <f>Costs!F13</f>
        <v>1236387</v>
      </c>
    </row>
    <row r="14" spans="1:12" ht="15" customHeight="1">
      <c r="B14" s="18" t="s">
        <v>115</v>
      </c>
      <c r="C14" s="23"/>
      <c r="D14" s="400"/>
      <c r="E14" s="66"/>
      <c r="F14" s="55"/>
      <c r="G14" s="55"/>
      <c r="H14" s="395"/>
      <c r="I14" s="400"/>
      <c r="J14" s="66"/>
      <c r="K14" s="399"/>
      <c r="L14" s="399"/>
    </row>
    <row r="15" spans="1:12" ht="15" customHeight="1">
      <c r="B15" s="22" t="s">
        <v>116</v>
      </c>
      <c r="C15" s="23">
        <f>ERFs!C15</f>
        <v>1.115</v>
      </c>
      <c r="D15" s="393">
        <v>1.115</v>
      </c>
      <c r="E15" s="66" t="s">
        <v>110</v>
      </c>
      <c r="F15" s="394">
        <f>ERFs!E15</f>
        <v>1.0840000000000001</v>
      </c>
      <c r="G15" s="394">
        <f>ERFs!F15</f>
        <v>1.1459999999999999</v>
      </c>
      <c r="H15" s="395">
        <f>Costs!C15</f>
        <v>50902</v>
      </c>
      <c r="I15" s="396">
        <v>50902</v>
      </c>
      <c r="J15" s="66" t="s">
        <v>117</v>
      </c>
      <c r="K15" s="397">
        <f>Costs!E15</f>
        <v>15006</v>
      </c>
      <c r="L15" s="397">
        <f>Costs!F15</f>
        <v>657056</v>
      </c>
    </row>
    <row r="16" spans="1:12" ht="14.25" customHeight="1">
      <c r="B16" s="22" t="s">
        <v>118</v>
      </c>
      <c r="C16" s="23">
        <f>ERFs!C16</f>
        <v>1.07</v>
      </c>
      <c r="D16" s="393">
        <v>1.07</v>
      </c>
      <c r="E16" s="66" t="s">
        <v>110</v>
      </c>
      <c r="F16" s="394">
        <f>ERFs!E16</f>
        <v>1.0209999999999999</v>
      </c>
      <c r="G16" s="394">
        <f>ERFs!F16</f>
        <v>1.1120000000000001</v>
      </c>
      <c r="H16" s="401">
        <f>Costs!C16</f>
        <v>44075</v>
      </c>
      <c r="I16" s="396">
        <v>44075</v>
      </c>
      <c r="J16" s="66" t="s">
        <v>117</v>
      </c>
      <c r="K16" s="397">
        <f>Costs!E16</f>
        <v>8178</v>
      </c>
      <c r="L16" s="397">
        <f>Costs!F16</f>
        <v>642446</v>
      </c>
    </row>
    <row r="17" spans="1:15" ht="15" customHeight="1">
      <c r="B17" s="22" t="s">
        <v>119</v>
      </c>
      <c r="C17" s="34">
        <f>ERFs!C17</f>
        <v>0.9</v>
      </c>
      <c r="D17" s="402">
        <v>0.9</v>
      </c>
      <c r="E17" s="67" t="s">
        <v>110</v>
      </c>
      <c r="F17" s="53">
        <f>ERFs!E17</f>
        <v>0.5</v>
      </c>
      <c r="G17" s="53">
        <f>ERFs!F17</f>
        <v>1.7</v>
      </c>
      <c r="H17" s="403">
        <f>Costs!C17</f>
        <v>124</v>
      </c>
      <c r="I17" s="396">
        <v>124</v>
      </c>
      <c r="J17" s="67" t="s">
        <v>120</v>
      </c>
      <c r="K17" s="404">
        <f>Costs!E17</f>
        <v>68</v>
      </c>
      <c r="L17" s="404">
        <f>Costs!F17</f>
        <v>174</v>
      </c>
    </row>
    <row r="18" spans="1:15" ht="15" customHeight="1">
      <c r="B18" s="26" t="s">
        <v>121</v>
      </c>
      <c r="C18" s="23"/>
      <c r="D18" s="405"/>
      <c r="E18" s="68"/>
      <c r="F18" s="406"/>
      <c r="G18" s="406"/>
      <c r="H18" s="407"/>
      <c r="I18" s="405"/>
      <c r="J18" s="65"/>
      <c r="K18" s="408"/>
      <c r="L18" s="408"/>
    </row>
    <row r="19" spans="1:15" ht="15" customHeight="1">
      <c r="A19" s="409"/>
      <c r="B19" s="410" t="s">
        <v>108</v>
      </c>
      <c r="C19" s="23"/>
      <c r="D19" s="411"/>
      <c r="E19" s="66"/>
      <c r="F19" s="394"/>
      <c r="G19" s="394"/>
      <c r="H19" s="401"/>
      <c r="I19" s="411"/>
      <c r="J19" s="69"/>
      <c r="K19" s="412"/>
      <c r="L19" s="412"/>
    </row>
    <row r="20" spans="1:15" ht="15" customHeight="1">
      <c r="A20" s="409"/>
      <c r="B20" s="413" t="s">
        <v>122</v>
      </c>
      <c r="C20" s="23">
        <f>ERFs!C20</f>
        <v>1.097</v>
      </c>
      <c r="D20" s="414">
        <v>1.097</v>
      </c>
      <c r="E20" s="66" t="s">
        <v>110</v>
      </c>
      <c r="F20" s="394">
        <f>ERFs!E20</f>
        <v>1.0740000000000001</v>
      </c>
      <c r="G20" s="394">
        <f>ERFs!F20</f>
        <v>1.1200000000000001</v>
      </c>
      <c r="H20" s="395">
        <f>Costs!C20</f>
        <v>15691757</v>
      </c>
      <c r="I20" s="396">
        <v>15691757</v>
      </c>
      <c r="J20" s="66" t="s">
        <v>111</v>
      </c>
      <c r="K20" s="397">
        <f>Costs!E20</f>
        <v>10168258</v>
      </c>
      <c r="L20" s="397">
        <f>Costs!F20</f>
        <v>21215255</v>
      </c>
    </row>
    <row r="21" spans="1:15" ht="15" customHeight="1">
      <c r="A21" s="409"/>
      <c r="B21" s="415" t="s">
        <v>112</v>
      </c>
      <c r="C21" s="23"/>
      <c r="D21" s="32"/>
      <c r="E21" s="66"/>
      <c r="F21" s="394"/>
      <c r="G21" s="394"/>
      <c r="H21" s="401"/>
      <c r="I21" s="398"/>
      <c r="J21" s="66"/>
      <c r="K21" s="399"/>
      <c r="L21" s="399"/>
    </row>
    <row r="22" spans="1:15" ht="15" customHeight="1">
      <c r="A22" s="409"/>
      <c r="B22" s="413" t="s">
        <v>123</v>
      </c>
      <c r="C22" s="23">
        <f>ERFs!C22</f>
        <v>1.097</v>
      </c>
      <c r="D22" s="414">
        <v>1.097</v>
      </c>
      <c r="E22" s="66" t="s">
        <v>110</v>
      </c>
      <c r="F22" s="394">
        <f>ERFs!E22</f>
        <v>1.0740000000000001</v>
      </c>
      <c r="G22" s="394">
        <f>ERFs!F22</f>
        <v>1.1200000000000001</v>
      </c>
      <c r="H22" s="395">
        <f>Costs!C22</f>
        <v>914488</v>
      </c>
      <c r="I22" s="396">
        <v>914488</v>
      </c>
      <c r="J22" s="66" t="s">
        <v>124</v>
      </c>
      <c r="K22" s="397">
        <f>Costs!E22</f>
        <v>80016</v>
      </c>
      <c r="L22" s="397">
        <f>Costs!F22</f>
        <v>1236387</v>
      </c>
    </row>
    <row r="23" spans="1:15" ht="15" customHeight="1">
      <c r="A23" s="409"/>
      <c r="B23" s="410" t="s">
        <v>115</v>
      </c>
      <c r="C23" s="23"/>
      <c r="D23" s="32"/>
      <c r="E23" s="66"/>
      <c r="F23" s="394"/>
      <c r="G23" s="394"/>
      <c r="H23" s="401"/>
      <c r="I23" s="32"/>
      <c r="J23" s="66"/>
      <c r="K23" s="399"/>
      <c r="L23" s="399"/>
    </row>
    <row r="24" spans="1:15" ht="15" customHeight="1">
      <c r="A24" s="409"/>
      <c r="B24" s="413" t="s">
        <v>125</v>
      </c>
      <c r="C24" s="23">
        <f>ERFs!C24</f>
        <v>1.0469999999999999</v>
      </c>
      <c r="D24" s="414">
        <v>1.0469999999999999</v>
      </c>
      <c r="E24" s="66" t="s">
        <v>110</v>
      </c>
      <c r="F24" s="394">
        <f>ERFs!E24</f>
        <v>1.0309999999999999</v>
      </c>
      <c r="G24" s="394">
        <f>ERFs!F24</f>
        <v>1.0640000000000001</v>
      </c>
      <c r="H24" s="395">
        <f>Costs!C24</f>
        <v>50902</v>
      </c>
      <c r="I24" s="396">
        <v>50902</v>
      </c>
      <c r="J24" s="66" t="s">
        <v>117</v>
      </c>
      <c r="K24" s="397">
        <f>Costs!E24</f>
        <v>15006</v>
      </c>
      <c r="L24" s="397">
        <f>Costs!F24</f>
        <v>657056</v>
      </c>
    </row>
    <row r="25" spans="1:15" ht="15" customHeight="1">
      <c r="A25" s="409"/>
      <c r="B25" s="22" t="s">
        <v>126</v>
      </c>
      <c r="C25" s="23">
        <f>ERFs!C25</f>
        <v>1.1299999999999999</v>
      </c>
      <c r="D25" s="414">
        <v>1.1299999999999999</v>
      </c>
      <c r="E25" s="66" t="s">
        <v>110</v>
      </c>
      <c r="F25" s="394">
        <f>ERFs!E25</f>
        <v>1.1020000000000001</v>
      </c>
      <c r="G25" s="394">
        <f>ERFs!F25</f>
        <v>1.159</v>
      </c>
      <c r="H25" s="401">
        <f>Costs!C25</f>
        <v>44075</v>
      </c>
      <c r="I25" s="396">
        <v>44075</v>
      </c>
      <c r="J25" s="66" t="s">
        <v>117</v>
      </c>
      <c r="K25" s="397">
        <f>Costs!E25</f>
        <v>8178</v>
      </c>
      <c r="L25" s="397">
        <f>Costs!F25</f>
        <v>642446</v>
      </c>
    </row>
    <row r="26" spans="1:15" ht="15" customHeight="1">
      <c r="A26" s="409"/>
      <c r="B26" s="37" t="s">
        <v>127</v>
      </c>
      <c r="C26" s="23">
        <f>ERFs!C26</f>
        <v>1.1819999999999999</v>
      </c>
      <c r="D26" s="414">
        <v>1.1819999999999999</v>
      </c>
      <c r="E26" s="66" t="s">
        <v>110</v>
      </c>
      <c r="F26" s="394">
        <f>ERFs!E26</f>
        <v>1.0940000000000001</v>
      </c>
      <c r="G26" s="394">
        <f>ERFs!F26</f>
        <v>1.276</v>
      </c>
      <c r="H26" s="401">
        <f>Costs!C26</f>
        <v>2529</v>
      </c>
      <c r="I26" s="396">
        <v>2529</v>
      </c>
      <c r="J26" s="66" t="s">
        <v>128</v>
      </c>
      <c r="K26" s="397">
        <f>Costs!E26</f>
        <v>1265</v>
      </c>
      <c r="L26" s="397">
        <f>Costs!F26</f>
        <v>3794</v>
      </c>
    </row>
    <row r="27" spans="1:15" ht="15" customHeight="1">
      <c r="A27" s="409"/>
      <c r="B27" s="33" t="s">
        <v>129</v>
      </c>
      <c r="C27" s="34">
        <f>ERFs!C27</f>
        <v>1.05</v>
      </c>
      <c r="D27" s="416">
        <v>1.05</v>
      </c>
      <c r="E27" s="67" t="s">
        <v>130</v>
      </c>
      <c r="F27" s="53">
        <f>ERFs!E27</f>
        <v>1.02</v>
      </c>
      <c r="G27" s="53">
        <f>ERFs!F27</f>
        <v>1.07</v>
      </c>
      <c r="H27" s="417">
        <f>Costs!C27</f>
        <v>178</v>
      </c>
      <c r="I27" s="418">
        <v>178</v>
      </c>
      <c r="J27" s="67" t="s">
        <v>128</v>
      </c>
      <c r="K27" s="404">
        <f>Costs!E27</f>
        <v>89</v>
      </c>
      <c r="L27" s="404">
        <f>Costs!F27</f>
        <v>267</v>
      </c>
    </row>
    <row r="28" spans="1:15" ht="15" customHeight="1">
      <c r="B28" s="419"/>
      <c r="C28" s="420"/>
      <c r="D28" s="421"/>
      <c r="E28" s="24"/>
      <c r="F28" s="422"/>
      <c r="G28" s="423"/>
      <c r="H28" s="424"/>
      <c r="I28" s="425"/>
      <c r="J28" s="24"/>
      <c r="K28" s="24"/>
      <c r="L28" s="392"/>
    </row>
    <row r="29" spans="1:15" ht="15" customHeight="1">
      <c r="B29" s="79" t="s">
        <v>131</v>
      </c>
      <c r="C29" s="702" t="s">
        <v>132</v>
      </c>
      <c r="D29" s="703"/>
      <c r="E29" s="703"/>
      <c r="F29" s="703"/>
      <c r="G29" s="704"/>
    </row>
    <row r="30" spans="1:15" ht="15" customHeight="1">
      <c r="B30" s="12"/>
      <c r="C30" s="13" t="s">
        <v>102</v>
      </c>
      <c r="D30" s="14" t="s">
        <v>103</v>
      </c>
      <c r="E30" s="390" t="s">
        <v>104</v>
      </c>
      <c r="F30" s="51" t="s">
        <v>105</v>
      </c>
      <c r="G30" s="51" t="s">
        <v>106</v>
      </c>
    </row>
    <row r="31" spans="1:15" ht="15" customHeight="1">
      <c r="B31" s="15" t="s">
        <v>107</v>
      </c>
      <c r="C31" s="35"/>
      <c r="D31" s="17"/>
      <c r="E31" s="24"/>
      <c r="F31" s="21"/>
      <c r="G31" s="21"/>
      <c r="O31" s="392"/>
    </row>
    <row r="32" spans="1:15" ht="15" customHeight="1">
      <c r="B32" s="37" t="s">
        <v>64</v>
      </c>
      <c r="C32" s="78">
        <f>'Annual incs'!C10</f>
        <v>0</v>
      </c>
      <c r="D32" s="426">
        <f>C32</f>
        <v>0</v>
      </c>
      <c r="E32" s="66" t="s">
        <v>133</v>
      </c>
      <c r="F32" s="76">
        <f>'Annual incs'!E10</f>
        <v>0</v>
      </c>
      <c r="G32" s="76">
        <f>'Annual incs'!F10</f>
        <v>0</v>
      </c>
    </row>
    <row r="33" spans="2:7" ht="15" customHeight="1">
      <c r="B33" s="37" t="s">
        <v>65</v>
      </c>
      <c r="C33" s="78">
        <f>'Annual incs'!C11</f>
        <v>0</v>
      </c>
      <c r="D33" s="426">
        <f t="shared" ref="D33:D39" si="0">C33</f>
        <v>0</v>
      </c>
      <c r="E33" s="66" t="s">
        <v>133</v>
      </c>
      <c r="F33" s="76">
        <f>'Annual incs'!E11</f>
        <v>0</v>
      </c>
      <c r="G33" s="76">
        <f>'Annual incs'!F11</f>
        <v>0</v>
      </c>
    </row>
    <row r="34" spans="2:7" ht="15" customHeight="1">
      <c r="B34" s="37" t="s">
        <v>66</v>
      </c>
      <c r="C34" s="71">
        <f>'Annual incs'!C12</f>
        <v>17.534935092014717</v>
      </c>
      <c r="D34" s="426">
        <f t="shared" si="0"/>
        <v>17.534935092014717</v>
      </c>
      <c r="E34" s="66" t="s">
        <v>133</v>
      </c>
      <c r="F34" s="82">
        <f>'Annual incs'!E12</f>
        <v>5.8929955800307585</v>
      </c>
      <c r="G34" s="82">
        <f>'Annual incs'!F12</f>
        <v>35.302472152230379</v>
      </c>
    </row>
    <row r="35" spans="2:7" ht="15" customHeight="1">
      <c r="B35" s="37" t="s">
        <v>67</v>
      </c>
      <c r="C35" s="121">
        <f>'Annual incs'!C13</f>
        <v>2.1827720031553586</v>
      </c>
      <c r="D35" s="426">
        <f t="shared" si="0"/>
        <v>2.1827720031553586</v>
      </c>
      <c r="E35" s="66" t="s">
        <v>133</v>
      </c>
      <c r="F35" s="120">
        <f>'Annual incs'!E13</f>
        <v>0.7403260778933114</v>
      </c>
      <c r="G35" s="120">
        <f>'Annual incs'!F13</f>
        <v>4.7767520309074616</v>
      </c>
    </row>
    <row r="36" spans="2:7" ht="15" customHeight="1">
      <c r="B36" s="37" t="s">
        <v>68</v>
      </c>
      <c r="C36" s="70">
        <f>'Annual incs'!C14</f>
        <v>0.50931346740291705</v>
      </c>
      <c r="D36" s="426">
        <f t="shared" si="0"/>
        <v>0.50931346740291705</v>
      </c>
      <c r="E36" s="66" t="s">
        <v>133</v>
      </c>
      <c r="F36" s="119">
        <f>'Annual incs'!E14</f>
        <v>0.15991043282495529</v>
      </c>
      <c r="G36" s="119">
        <f>'Annual incs'!F14</f>
        <v>0.97809684442390876</v>
      </c>
    </row>
    <row r="37" spans="2:7" ht="15" customHeight="1">
      <c r="B37" s="37" t="s">
        <v>69</v>
      </c>
      <c r="C37" s="70">
        <f>'Annual incs'!C15</f>
        <v>0.50931346740291705</v>
      </c>
      <c r="D37" s="426">
        <f t="shared" si="0"/>
        <v>0.50931346740291705</v>
      </c>
      <c r="E37" s="66" t="s">
        <v>133</v>
      </c>
      <c r="F37" s="119">
        <f>'Annual incs'!E15</f>
        <v>0.15991043282495529</v>
      </c>
      <c r="G37" s="119">
        <f>'Annual incs'!F15</f>
        <v>0.97809684442390876</v>
      </c>
    </row>
    <row r="38" spans="2:7" ht="15" customHeight="1">
      <c r="B38" s="37" t="s">
        <v>70</v>
      </c>
      <c r="C38" s="70">
        <f>'Annual incs'!C16</f>
        <v>0.16977115580097232</v>
      </c>
      <c r="D38" s="426">
        <f t="shared" si="0"/>
        <v>0.16977115580097232</v>
      </c>
      <c r="E38" s="66" t="s">
        <v>133</v>
      </c>
      <c r="F38" s="119">
        <f>'Annual incs'!E16</f>
        <v>5.3303477608318425E-2</v>
      </c>
      <c r="G38" s="119">
        <f>'Annual incs'!F16</f>
        <v>0.32603228147463625</v>
      </c>
    </row>
    <row r="39" spans="2:7" ht="15" customHeight="1">
      <c r="B39" s="50" t="s">
        <v>71</v>
      </c>
      <c r="C39" s="122">
        <f>'Annual incs'!C17</f>
        <v>0</v>
      </c>
      <c r="D39" s="426">
        <f t="shared" si="0"/>
        <v>0</v>
      </c>
      <c r="E39" s="67" t="s">
        <v>133</v>
      </c>
      <c r="F39" s="77">
        <f>'Annual incs'!E17</f>
        <v>0</v>
      </c>
      <c r="G39" s="77">
        <f>'Annual incs'!F17</f>
        <v>0</v>
      </c>
    </row>
    <row r="40" spans="2:7" ht="15" customHeight="1">
      <c r="B40" s="26" t="s">
        <v>121</v>
      </c>
      <c r="C40" s="71"/>
      <c r="D40" s="17"/>
      <c r="E40" s="66"/>
      <c r="F40" s="76">
        <f>'Annual incs'!E18</f>
        <v>0</v>
      </c>
      <c r="G40" s="76">
        <f>'Annual incs'!F18</f>
        <v>0</v>
      </c>
    </row>
    <row r="41" spans="2:7" ht="15" customHeight="1">
      <c r="B41" s="37" t="s">
        <v>64</v>
      </c>
      <c r="C41" s="78">
        <f>'Annual incs'!C19</f>
        <v>0</v>
      </c>
      <c r="D41" s="426">
        <f t="shared" ref="D41:D48" si="1">C41</f>
        <v>0</v>
      </c>
      <c r="E41" s="66" t="s">
        <v>133</v>
      </c>
      <c r="F41" s="76">
        <f>'Annual incs'!E19</f>
        <v>0</v>
      </c>
      <c r="G41" s="76">
        <f>'Annual incs'!F19</f>
        <v>0</v>
      </c>
    </row>
    <row r="42" spans="2:7" ht="15" customHeight="1">
      <c r="B42" s="37" t="s">
        <v>65</v>
      </c>
      <c r="C42" s="121">
        <f>'Annual incs'!C20</f>
        <v>2.875</v>
      </c>
      <c r="D42" s="426">
        <f t="shared" si="1"/>
        <v>2.875</v>
      </c>
      <c r="E42" s="66" t="s">
        <v>133</v>
      </c>
      <c r="F42" s="120">
        <f>'Annual incs'!E20</f>
        <v>0.3</v>
      </c>
      <c r="G42" s="120">
        <f>'Annual incs'!F20</f>
        <v>7.4250000000000007</v>
      </c>
    </row>
    <row r="43" spans="2:7" ht="15" customHeight="1">
      <c r="B43" s="37" t="s">
        <v>66</v>
      </c>
      <c r="C43" s="78">
        <f>'Annual incs'!C21</f>
        <v>0</v>
      </c>
      <c r="D43" s="426">
        <f t="shared" si="1"/>
        <v>0</v>
      </c>
      <c r="E43" s="66" t="s">
        <v>133</v>
      </c>
      <c r="F43" s="76">
        <f>'Annual incs'!E21</f>
        <v>0</v>
      </c>
      <c r="G43" s="76">
        <f>'Annual incs'!F21</f>
        <v>0</v>
      </c>
    </row>
    <row r="44" spans="2:7" ht="15" customHeight="1">
      <c r="B44" s="37" t="s">
        <v>67</v>
      </c>
      <c r="C44" s="78">
        <f>'Annual incs'!C22</f>
        <v>0</v>
      </c>
      <c r="D44" s="426">
        <f t="shared" si="1"/>
        <v>0</v>
      </c>
      <c r="E44" s="66" t="s">
        <v>133</v>
      </c>
      <c r="F44" s="76">
        <f>'Annual incs'!E22</f>
        <v>0</v>
      </c>
      <c r="G44" s="76">
        <f>'Annual incs'!F22</f>
        <v>0</v>
      </c>
    </row>
    <row r="45" spans="2:7" ht="15" customHeight="1">
      <c r="B45" s="37" t="s">
        <v>68</v>
      </c>
      <c r="C45" s="78">
        <f>'Annual incs'!C23</f>
        <v>0</v>
      </c>
      <c r="D45" s="426">
        <f t="shared" si="1"/>
        <v>0</v>
      </c>
      <c r="E45" s="66" t="s">
        <v>133</v>
      </c>
      <c r="F45" s="76">
        <f>'Annual incs'!E23</f>
        <v>0</v>
      </c>
      <c r="G45" s="76">
        <f>'Annual incs'!F23</f>
        <v>0</v>
      </c>
    </row>
    <row r="46" spans="2:7" ht="15" customHeight="1">
      <c r="B46" s="37" t="s">
        <v>69</v>
      </c>
      <c r="C46" s="78">
        <f>'Annual incs'!C24</f>
        <v>0</v>
      </c>
      <c r="D46" s="426">
        <f t="shared" si="1"/>
        <v>0</v>
      </c>
      <c r="E46" s="66" t="s">
        <v>133</v>
      </c>
      <c r="F46" s="76">
        <f>'Annual incs'!E24</f>
        <v>0</v>
      </c>
      <c r="G46" s="76">
        <f>'Annual incs'!F24</f>
        <v>0</v>
      </c>
    </row>
    <row r="47" spans="2:7" ht="15" customHeight="1">
      <c r="B47" s="37" t="s">
        <v>70</v>
      </c>
      <c r="C47" s="78">
        <f>'Annual incs'!C25</f>
        <v>0</v>
      </c>
      <c r="D47" s="426">
        <f t="shared" si="1"/>
        <v>0</v>
      </c>
      <c r="E47" s="66" t="s">
        <v>133</v>
      </c>
      <c r="F47" s="76">
        <f>'Annual incs'!E25</f>
        <v>0</v>
      </c>
      <c r="G47" s="76">
        <f>'Annual incs'!F25</f>
        <v>0</v>
      </c>
    </row>
    <row r="48" spans="2:7" ht="15" customHeight="1">
      <c r="B48" s="50" t="s">
        <v>71</v>
      </c>
      <c r="C48" s="428">
        <f>'Annual incs'!C26</f>
        <v>6.6210750762379211</v>
      </c>
      <c r="D48" s="427">
        <f t="shared" si="1"/>
        <v>6.6210750762379211</v>
      </c>
      <c r="E48" s="67" t="s">
        <v>133</v>
      </c>
      <c r="F48" s="308">
        <f>'Annual incs'!E26</f>
        <v>4.4419564673598684</v>
      </c>
      <c r="G48" s="308">
        <f>'Annual incs'!F26</f>
        <v>9.9174470736935874</v>
      </c>
    </row>
    <row r="50" spans="2:7" ht="15" customHeight="1">
      <c r="B50" s="79" t="s">
        <v>134</v>
      </c>
      <c r="C50" s="705" t="s">
        <v>135</v>
      </c>
      <c r="D50" s="706"/>
      <c r="E50" s="706"/>
      <c r="F50" s="706"/>
      <c r="G50" s="707"/>
    </row>
    <row r="51" spans="2:7" ht="15" customHeight="1">
      <c r="B51" s="12"/>
      <c r="C51" s="13" t="s">
        <v>102</v>
      </c>
      <c r="D51" s="14" t="s">
        <v>103</v>
      </c>
      <c r="E51" s="429" t="s">
        <v>104</v>
      </c>
      <c r="F51" s="51" t="s">
        <v>105</v>
      </c>
      <c r="G51" s="51" t="s">
        <v>106</v>
      </c>
    </row>
    <row r="52" spans="2:7" ht="15" customHeight="1">
      <c r="B52" s="36"/>
      <c r="C52" s="35"/>
      <c r="D52" s="17"/>
      <c r="E52" s="24"/>
      <c r="F52" s="21"/>
      <c r="G52" s="21"/>
    </row>
    <row r="53" spans="2:7" ht="15" customHeight="1">
      <c r="B53" s="37" t="s">
        <v>136</v>
      </c>
      <c r="C53" s="71">
        <f>'HH comp &amp; Health'!C10</f>
        <v>2</v>
      </c>
      <c r="D53" s="430">
        <v>2</v>
      </c>
      <c r="E53" s="431" t="s">
        <v>137</v>
      </c>
      <c r="F53" s="82">
        <f>'HH comp &amp; Health'!E10</f>
        <v>1</v>
      </c>
      <c r="G53" s="82">
        <f>'HH comp &amp; Health'!F10</f>
        <v>4</v>
      </c>
    </row>
    <row r="54" spans="2:7" ht="15" customHeight="1">
      <c r="B54" s="33" t="s">
        <v>138</v>
      </c>
      <c r="C54" s="432">
        <f>'HH comp &amp; Health'!C11</f>
        <v>2</v>
      </c>
      <c r="D54" s="427">
        <v>2</v>
      </c>
      <c r="E54" s="433" t="s">
        <v>137</v>
      </c>
      <c r="F54" s="83">
        <f>'HH comp &amp; Health'!E11</f>
        <v>0</v>
      </c>
      <c r="G54" s="83">
        <f>'HH comp &amp; Health'!F11</f>
        <v>4</v>
      </c>
    </row>
  </sheetData>
  <sheetProtection selectLockedCells="1"/>
  <mergeCells count="4">
    <mergeCell ref="C29:G29"/>
    <mergeCell ref="C50:G50"/>
    <mergeCell ref="C7:G7"/>
    <mergeCell ref="H7:L7"/>
  </mergeCells>
  <dataValidations count="9">
    <dataValidation type="whole" operator="equal" allowBlank="1" showInputMessage="1" showErrorMessage="1" errorTitle="default value cannot be changed" sqref="H27" xr:uid="{22BD000A-0974-48F4-857C-7406E61C769B}">
      <formula1>128</formula1>
    </dataValidation>
    <dataValidation type="whole" operator="equal" allowBlank="1" showInputMessage="1" showErrorMessage="1" errorTitle="default value cannot be changed" sqref="H26" xr:uid="{FFC4E38C-CE0A-452E-9B98-5FA20350BEE7}">
      <formula1>1822</formula1>
    </dataValidation>
    <dataValidation type="whole" operator="equal" allowBlank="1" showInputMessage="1" showErrorMessage="1" errorTitle="default value cannot be changed" sqref="H17" xr:uid="{D664A7A0-1A1C-4A58-9F76-C7E02391C270}">
      <formula1>89</formula1>
    </dataValidation>
    <dataValidation type="whole" operator="equal" allowBlank="1" showInputMessage="1" showErrorMessage="1" errorTitle="default values cannot be changed" sqref="H16 H25" xr:uid="{CB0BFDA9-2CB3-42B0-8447-EAEE62FB62CC}">
      <formula1>31748</formula1>
    </dataValidation>
    <dataValidation type="whole" operator="equal" allowBlank="1" showInputMessage="1" showErrorMessage="1" errorTitle="default value cannot be changed" sqref="H15 H24" xr:uid="{6FFD257C-2946-47AA-9A73-3EE02B16F892}">
      <formula1>36666</formula1>
    </dataValidation>
    <dataValidation type="whole" operator="equal" allowBlank="1" showInputMessage="1" showErrorMessage="1" errorTitle="Default value cannot be changed" sqref="H22 H13" xr:uid="{6F12C975-D879-4611-8A21-C4ACCBC04350}">
      <formula1>263843</formula1>
    </dataValidation>
    <dataValidation type="whole" operator="equal" allowBlank="1" showInputMessage="1" showErrorMessage="1" errorTitle="Default value cannot be changed" sqref="H20 H11" xr:uid="{B5E46D0A-9F9F-4B9D-8C26-0D26641E2FFD}">
      <formula1>4527300</formula1>
    </dataValidation>
    <dataValidation type="decimal" operator="equal" allowBlank="1" showInputMessage="1" showErrorMessage="1" errorTitle="default value" error="the default value cannot be changed" promptTitle="default" sqref="C11:C27" xr:uid="{E1ECB9C5-4378-483D-BB6F-404D43591573}">
      <formula1>1.105</formula1>
    </dataValidation>
    <dataValidation type="decimal" operator="equal" allowBlank="1" showInputMessage="1" showErrorMessage="1" errorTitle="Value cannot be changed" sqref="C31 C40" xr:uid="{BBB5748D-10CB-4A5C-8C66-FDF796B643C5}">
      <formula1>1</formula1>
    </dataValidation>
  </dataValidations>
  <hyperlinks>
    <hyperlink ref="A5" location="Contents!A1" display="Back to Contents" xr:uid="{EB3DE81D-D970-4F9A-ACF9-0C6A4F796C2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CE61-2A7E-447A-8FB9-93EDF0C63DFC}">
  <sheetPr>
    <tabColor rgb="FF92D050"/>
    <pageSetUpPr fitToPage="1"/>
  </sheetPr>
  <dimension ref="A1:W70"/>
  <sheetViews>
    <sheetView workbookViewId="0">
      <selection activeCell="C28" sqref="C28"/>
    </sheetView>
  </sheetViews>
  <sheetFormatPr defaultColWidth="9.28515625" defaultRowHeight="14.45"/>
  <cols>
    <col min="1" max="1" width="9.28515625" style="9"/>
    <col min="2" max="2" width="38.5703125" style="9" customWidth="1"/>
    <col min="3" max="5" width="15.28515625" style="9" customWidth="1"/>
    <col min="6" max="9" width="18.140625" style="9" customWidth="1"/>
    <col min="10" max="11" width="17.5703125" style="9" customWidth="1"/>
    <col min="12" max="12" width="40.85546875" style="9" bestFit="1" customWidth="1"/>
    <col min="13" max="13" width="10.42578125" style="658" bestFit="1" customWidth="1"/>
    <col min="14" max="14" width="14.7109375" style="9" bestFit="1" customWidth="1"/>
    <col min="15" max="15" width="11.42578125" style="9" bestFit="1" customWidth="1"/>
    <col min="16" max="16" width="11.28515625" style="9" bestFit="1" customWidth="1"/>
    <col min="17" max="17" width="16.140625" style="9" bestFit="1" customWidth="1"/>
    <col min="18" max="18" width="12.85546875" style="9" bestFit="1" customWidth="1"/>
    <col min="19" max="19" width="12.7109375" style="9" bestFit="1" customWidth="1"/>
    <col min="20" max="20" width="9" style="9" bestFit="1" customWidth="1"/>
    <col min="21" max="21" width="12.5703125" style="9" bestFit="1" customWidth="1"/>
    <col min="22" max="22" width="14.140625" style="9" bestFit="1" customWidth="1"/>
    <col min="23" max="16384" width="9.28515625" style="9"/>
  </cols>
  <sheetData>
    <row r="1" spans="1:23" ht="18.600000000000001">
      <c r="A1" s="440" t="s">
        <v>12</v>
      </c>
      <c r="B1" s="441"/>
      <c r="C1" s="441"/>
      <c r="D1" s="441"/>
      <c r="E1" s="441"/>
      <c r="F1" s="441"/>
      <c r="G1" s="441"/>
      <c r="H1" s="441"/>
      <c r="I1" s="441"/>
      <c r="J1" s="441"/>
      <c r="K1" s="441"/>
      <c r="L1" s="441"/>
    </row>
    <row r="2" spans="1:23">
      <c r="A2" s="2" t="s">
        <v>139</v>
      </c>
    </row>
    <row r="3" spans="1:23">
      <c r="A3" s="358" t="s">
        <v>15</v>
      </c>
    </row>
    <row r="4" spans="1:23">
      <c r="A4" s="380" t="s">
        <v>59</v>
      </c>
    </row>
    <row r="5" spans="1:23">
      <c r="A5" s="38"/>
    </row>
    <row r="7" spans="1:23" ht="15.6">
      <c r="A7" s="229" t="s">
        <v>140</v>
      </c>
      <c r="B7" s="435"/>
    </row>
    <row r="8" spans="1:23">
      <c r="F8" s="358" t="s">
        <v>141</v>
      </c>
      <c r="G8" s="174"/>
      <c r="H8" s="174"/>
      <c r="I8" s="174"/>
    </row>
    <row r="9" spans="1:23" ht="14.85" customHeight="1">
      <c r="B9" s="443" t="s">
        <v>131</v>
      </c>
      <c r="C9" s="714" t="s">
        <v>142</v>
      </c>
      <c r="D9" s="715"/>
      <c r="E9" s="715"/>
      <c r="F9" s="715"/>
      <c r="G9" s="715"/>
      <c r="H9" s="715"/>
      <c r="I9" s="715"/>
      <c r="J9" s="715"/>
      <c r="K9" s="715"/>
      <c r="L9" s="439"/>
      <c r="M9" s="718" t="s">
        <v>143</v>
      </c>
      <c r="N9" s="714" t="s">
        <v>144</v>
      </c>
      <c r="O9" s="715"/>
      <c r="P9" s="715"/>
      <c r="Q9" s="715"/>
      <c r="R9" s="715"/>
      <c r="S9" s="715"/>
      <c r="T9" s="715"/>
      <c r="U9" s="715"/>
      <c r="V9" s="715"/>
    </row>
    <row r="10" spans="1:23">
      <c r="B10" s="12"/>
      <c r="C10" s="325" t="s">
        <v>145</v>
      </c>
      <c r="D10" s="325" t="s">
        <v>146</v>
      </c>
      <c r="E10" s="200" t="s">
        <v>147</v>
      </c>
      <c r="F10" s="326" t="s">
        <v>148</v>
      </c>
      <c r="G10" s="327" t="s">
        <v>149</v>
      </c>
      <c r="H10" s="322" t="s">
        <v>150</v>
      </c>
      <c r="I10" s="315" t="s">
        <v>151</v>
      </c>
      <c r="J10" s="325" t="s">
        <v>152</v>
      </c>
      <c r="K10" s="326" t="s">
        <v>153</v>
      </c>
      <c r="L10" s="51"/>
      <c r="M10" s="719"/>
      <c r="N10" s="325" t="s">
        <v>145</v>
      </c>
      <c r="O10" s="325" t="s">
        <v>146</v>
      </c>
      <c r="P10" s="200" t="s">
        <v>147</v>
      </c>
      <c r="Q10" s="326" t="s">
        <v>148</v>
      </c>
      <c r="R10" s="327" t="s">
        <v>149</v>
      </c>
      <c r="S10" s="322" t="s">
        <v>150</v>
      </c>
      <c r="T10" s="315" t="s">
        <v>151</v>
      </c>
      <c r="U10" s="325" t="s">
        <v>152</v>
      </c>
      <c r="V10" s="326" t="s">
        <v>153</v>
      </c>
      <c r="W10" s="51"/>
    </row>
    <row r="11" spans="1:23" ht="15">
      <c r="B11" s="15" t="s">
        <v>107</v>
      </c>
      <c r="C11" s="35"/>
      <c r="D11" s="35"/>
      <c r="E11" s="35"/>
      <c r="F11" s="21"/>
      <c r="G11" s="21"/>
      <c r="H11" s="21"/>
      <c r="I11" s="21"/>
      <c r="J11" s="21"/>
      <c r="K11" s="21"/>
      <c r="L11" s="21"/>
      <c r="M11" s="659"/>
      <c r="N11" s="35"/>
      <c r="O11" s="35"/>
      <c r="P11" s="35"/>
      <c r="Q11" s="21"/>
      <c r="R11" s="21"/>
      <c r="S11" s="21"/>
      <c r="T11" s="21"/>
      <c r="U11" s="21"/>
      <c r="V11" s="21"/>
    </row>
    <row r="12" spans="1:23">
      <c r="B12" s="37" t="s">
        <v>64</v>
      </c>
      <c r="C12" s="201">
        <f>'Indoor impacts per HH'!I21</f>
        <v>0</v>
      </c>
      <c r="D12" s="201">
        <f>'Indoor impacts per HH'!I23</f>
        <v>0</v>
      </c>
      <c r="E12" s="323">
        <f>SUM(C12:D12)</f>
        <v>0</v>
      </c>
      <c r="F12" s="201">
        <f>'Outdoor impacts per HH'!D10</f>
        <v>0</v>
      </c>
      <c r="G12" s="201">
        <f>'Outdoor impacts per HH'!E10</f>
        <v>0</v>
      </c>
      <c r="H12" s="323">
        <f>SUM(F12:G12)</f>
        <v>0</v>
      </c>
      <c r="I12" s="201">
        <f>E12+H12</f>
        <v>0</v>
      </c>
      <c r="J12" s="328" t="str">
        <f>IFERROR(E12/I12,"n/a")</f>
        <v>n/a</v>
      </c>
      <c r="K12" s="239" t="s">
        <v>154</v>
      </c>
      <c r="L12" s="86" t="s">
        <v>155</v>
      </c>
      <c r="M12" s="659"/>
      <c r="N12" s="201">
        <f>C12*$M12/10^6</f>
        <v>0</v>
      </c>
      <c r="O12" s="201">
        <f t="shared" ref="O12:O28" si="0">D12*$M12/10^6</f>
        <v>0</v>
      </c>
      <c r="P12" s="323">
        <f>SUM(N12:O12)</f>
        <v>0</v>
      </c>
      <c r="Q12" s="201">
        <f>F12*$M12/10^6</f>
        <v>0</v>
      </c>
      <c r="R12" s="201">
        <f t="shared" ref="R12:R19" si="1">G12*$M12/10^6</f>
        <v>0</v>
      </c>
      <c r="S12" s="323">
        <f>SUM(Q12:R12)</f>
        <v>0</v>
      </c>
      <c r="T12" s="201">
        <f>P12+S12</f>
        <v>0</v>
      </c>
      <c r="U12" s="328" t="str">
        <f>IFERROR(P12/T12,"n/a")</f>
        <v>n/a</v>
      </c>
      <c r="V12" s="239" t="s">
        <v>154</v>
      </c>
    </row>
    <row r="13" spans="1:23">
      <c r="B13" s="37" t="s">
        <v>65</v>
      </c>
      <c r="C13" s="201">
        <f>'Indoor impacts per HH'!J21</f>
        <v>0</v>
      </c>
      <c r="D13" s="201">
        <f>'Indoor impacts per HH'!J23</f>
        <v>0</v>
      </c>
      <c r="E13" s="323">
        <f t="shared" ref="E13:E18" si="2">SUM(C13:D13)</f>
        <v>0</v>
      </c>
      <c r="F13" s="201">
        <f>'Outdoor impacts per HH'!D11</f>
        <v>0</v>
      </c>
      <c r="G13" s="201">
        <f>'Outdoor impacts per HH'!E11</f>
        <v>0</v>
      </c>
      <c r="H13" s="323">
        <f t="shared" ref="H13:H18" si="3">SUM(F13:G13)</f>
        <v>0</v>
      </c>
      <c r="I13" s="201">
        <f t="shared" ref="I13:I37" si="4">E13+H13</f>
        <v>0</v>
      </c>
      <c r="J13" s="328" t="str">
        <f t="shared" ref="J13:J28" si="5">IFERROR(E13/I13,"n/a")</f>
        <v>n/a</v>
      </c>
      <c r="K13" s="239" t="s">
        <v>154</v>
      </c>
      <c r="L13" s="86" t="s">
        <v>156</v>
      </c>
      <c r="M13" s="660">
        <f>'NZ nat data'!C65</f>
        <v>360099</v>
      </c>
      <c r="N13" s="201">
        <f t="shared" ref="N13:N28" si="6">C13*$M13/10^6</f>
        <v>0</v>
      </c>
      <c r="O13" s="201">
        <f t="shared" si="0"/>
        <v>0</v>
      </c>
      <c r="P13" s="323">
        <f t="shared" ref="P13:P18" si="7">SUM(N13:O13)</f>
        <v>0</v>
      </c>
      <c r="Q13" s="201">
        <f t="shared" ref="Q13:Q19" si="8">F13*$M13/10^6</f>
        <v>0</v>
      </c>
      <c r="R13" s="201">
        <f t="shared" si="1"/>
        <v>0</v>
      </c>
      <c r="S13" s="323">
        <f t="shared" ref="S13:S18" si="9">SUM(Q13:R13)</f>
        <v>0</v>
      </c>
      <c r="T13" s="201">
        <f t="shared" ref="T13:T19" si="10">P13+S13</f>
        <v>0</v>
      </c>
      <c r="U13" s="328" t="str">
        <f t="shared" ref="U13:U19" si="11">IFERROR(P13/T13,"n/a")</f>
        <v>n/a</v>
      </c>
      <c r="V13" s="239" t="s">
        <v>154</v>
      </c>
    </row>
    <row r="14" spans="1:23">
      <c r="B14" s="37" t="s">
        <v>66</v>
      </c>
      <c r="C14" s="201">
        <f>'Indoor impacts per HH'!K21</f>
        <v>51911.093743613797</v>
      </c>
      <c r="D14" s="201">
        <f>'Indoor impacts per HH'!K23</f>
        <v>1490.1634612575203</v>
      </c>
      <c r="E14" s="323">
        <f t="shared" si="2"/>
        <v>53401.257204871319</v>
      </c>
      <c r="F14" s="201">
        <f>'Outdoor impacts per HH'!D12</f>
        <v>26188.227499671339</v>
      </c>
      <c r="G14" s="201">
        <f>'Outdoor impacts per HH'!E12</f>
        <v>562.40023537042725</v>
      </c>
      <c r="H14" s="323">
        <f t="shared" si="3"/>
        <v>26750.627735041766</v>
      </c>
      <c r="I14" s="201">
        <f t="shared" si="4"/>
        <v>80151.884939913085</v>
      </c>
      <c r="J14" s="328">
        <f t="shared" si="5"/>
        <v>0.66625079678293619</v>
      </c>
      <c r="K14" s="328">
        <f>H14/$I14</f>
        <v>0.33374920321706375</v>
      </c>
      <c r="L14" s="203" t="s">
        <v>157</v>
      </c>
      <c r="M14" s="660">
        <f>'NZ nat data'!C66</f>
        <v>1973.0777142229585</v>
      </c>
      <c r="N14" s="201">
        <f t="shared" si="6"/>
        <v>102.42462218646324</v>
      </c>
      <c r="O14" s="201">
        <f t="shared" si="0"/>
        <v>2.9402083159565606</v>
      </c>
      <c r="P14" s="323">
        <f t="shared" si="7"/>
        <v>105.36483050241981</v>
      </c>
      <c r="Q14" s="201">
        <f t="shared" si="8"/>
        <v>51.671408054602345</v>
      </c>
      <c r="R14" s="201">
        <f t="shared" si="1"/>
        <v>1.1096593708831366</v>
      </c>
      <c r="S14" s="323">
        <f t="shared" si="9"/>
        <v>52.781067425485482</v>
      </c>
      <c r="T14" s="201">
        <f t="shared" si="10"/>
        <v>158.14589792790528</v>
      </c>
      <c r="U14" s="328">
        <f t="shared" si="11"/>
        <v>0.66625079678293631</v>
      </c>
      <c r="V14" s="328">
        <f>S14/$T14</f>
        <v>0.33374920321706375</v>
      </c>
    </row>
    <row r="15" spans="1:23">
      <c r="B15" s="37" t="s">
        <v>67</v>
      </c>
      <c r="C15" s="201">
        <f>'Indoor impacts per HH'!L21</f>
        <v>7480.2764886046307</v>
      </c>
      <c r="D15" s="201">
        <f>'Indoor impacts per HH'!L23</f>
        <v>198.2843157124816</v>
      </c>
      <c r="E15" s="323">
        <f t="shared" si="2"/>
        <v>7678.5608043171123</v>
      </c>
      <c r="F15" s="201">
        <f>'Outdoor impacts per HH'!D13</f>
        <v>16611.58550004696</v>
      </c>
      <c r="G15" s="201">
        <f>'Outdoor impacts per HH'!E13</f>
        <v>356.7389047318926</v>
      </c>
      <c r="H15" s="323">
        <f t="shared" si="3"/>
        <v>16968.324404778854</v>
      </c>
      <c r="I15" s="201">
        <f t="shared" si="4"/>
        <v>24646.885209095966</v>
      </c>
      <c r="J15" s="328">
        <f t="shared" si="5"/>
        <v>0.31154284767323576</v>
      </c>
      <c r="K15" s="328">
        <f t="shared" ref="K15:K18" si="12">H15/$I15</f>
        <v>0.68845715232676419</v>
      </c>
      <c r="L15" s="76"/>
      <c r="M15" s="660">
        <f>'NZ nat data'!C67</f>
        <v>101236.28659302443</v>
      </c>
      <c r="N15" s="201">
        <f t="shared" si="6"/>
        <v>757.27541439544086</v>
      </c>
      <c r="O15" s="201">
        <f t="shared" si="0"/>
        <v>20.073567812370523</v>
      </c>
      <c r="P15" s="323">
        <f t="shared" si="7"/>
        <v>777.34898220781133</v>
      </c>
      <c r="Q15" s="201">
        <f t="shared" si="8"/>
        <v>1681.6952304472829</v>
      </c>
      <c r="R15" s="201">
        <f t="shared" si="1"/>
        <v>36.114921998319524</v>
      </c>
      <c r="S15" s="323">
        <f t="shared" si="9"/>
        <v>1717.8101524456024</v>
      </c>
      <c r="T15" s="201">
        <f t="shared" si="10"/>
        <v>2495.1591346534137</v>
      </c>
      <c r="U15" s="328">
        <f t="shared" si="11"/>
        <v>0.31154284767323581</v>
      </c>
      <c r="V15" s="328">
        <f>S15/$T15</f>
        <v>0.68845715232676419</v>
      </c>
    </row>
    <row r="16" spans="1:23">
      <c r="B16" s="37" t="s">
        <v>68</v>
      </c>
      <c r="C16" s="201">
        <f>'Indoor impacts per HH'!M21</f>
        <v>1775.9036434290026</v>
      </c>
      <c r="D16" s="201">
        <f>'Indoor impacts per HH'!M23</f>
        <v>46.647547645769748</v>
      </c>
      <c r="E16" s="323">
        <f t="shared" si="2"/>
        <v>1822.5511910747723</v>
      </c>
      <c r="F16" s="201">
        <f>'Outdoor impacts per HH'!D14</f>
        <v>12081.153090943244</v>
      </c>
      <c r="G16" s="201">
        <f>'Outdoor impacts per HH'!E14</f>
        <v>259.44647616864921</v>
      </c>
      <c r="H16" s="323">
        <f t="shared" si="3"/>
        <v>12340.599567111893</v>
      </c>
      <c r="I16" s="201">
        <f t="shared" si="4"/>
        <v>14163.150758186664</v>
      </c>
      <c r="J16" s="328">
        <f t="shared" si="5"/>
        <v>0.12868260898947861</v>
      </c>
      <c r="K16" s="328">
        <f t="shared" si="12"/>
        <v>0.87131739101052141</v>
      </c>
      <c r="L16" s="76"/>
      <c r="M16" s="660">
        <f>'NZ nat data'!C68</f>
        <v>369512.44606453914</v>
      </c>
      <c r="N16" s="201">
        <f t="shared" si="6"/>
        <v>656.21849925837796</v>
      </c>
      <c r="O16" s="201">
        <f t="shared" si="0"/>
        <v>17.236849433500513</v>
      </c>
      <c r="P16" s="323">
        <f t="shared" si="7"/>
        <v>673.4553486918785</v>
      </c>
      <c r="Q16" s="201">
        <f t="shared" si="8"/>
        <v>4464.1364299146062</v>
      </c>
      <c r="R16" s="201">
        <f t="shared" si="1"/>
        <v>95.868702031902728</v>
      </c>
      <c r="S16" s="323">
        <f t="shared" si="9"/>
        <v>4560.0051319465092</v>
      </c>
      <c r="T16" s="201">
        <f t="shared" si="10"/>
        <v>5233.4604806383877</v>
      </c>
      <c r="U16" s="328">
        <f t="shared" si="11"/>
        <v>0.12868260898947861</v>
      </c>
      <c r="V16" s="328">
        <f>S16/$T16</f>
        <v>0.87131739101052141</v>
      </c>
    </row>
    <row r="17" spans="2:22">
      <c r="B17" s="37" t="s">
        <v>69</v>
      </c>
      <c r="C17" s="201">
        <f>'Indoor impacts per HH'!N21</f>
        <v>1775.9036434290026</v>
      </c>
      <c r="D17" s="201">
        <f>'Indoor impacts per HH'!N23</f>
        <v>46.647547645769748</v>
      </c>
      <c r="E17" s="323">
        <f t="shared" si="2"/>
        <v>1822.5511910747723</v>
      </c>
      <c r="F17" s="201">
        <f>'Outdoor impacts per HH'!D15</f>
        <v>3113.6992502431035</v>
      </c>
      <c r="G17" s="201">
        <f>'Outdoor impacts per HH'!E15</f>
        <v>66.867648497074541</v>
      </c>
      <c r="H17" s="323">
        <f t="shared" si="3"/>
        <v>3180.5668987401782</v>
      </c>
      <c r="I17" s="201">
        <f t="shared" si="4"/>
        <v>5003.1180898149505</v>
      </c>
      <c r="J17" s="328">
        <f t="shared" si="5"/>
        <v>0.36428306475216193</v>
      </c>
      <c r="K17" s="328">
        <f t="shared" si="12"/>
        <v>0.63571693524783812</v>
      </c>
      <c r="L17" s="76"/>
      <c r="M17" s="660">
        <f>'NZ nat data'!C69</f>
        <v>35432.700307558553</v>
      </c>
      <c r="N17" s="201">
        <f t="shared" si="6"/>
        <v>62.925061572721177</v>
      </c>
      <c r="O17" s="201">
        <f t="shared" si="0"/>
        <v>1.6528485758151179</v>
      </c>
      <c r="P17" s="323">
        <f t="shared" si="7"/>
        <v>64.57791014853629</v>
      </c>
      <c r="Q17" s="201">
        <f t="shared" si="8"/>
        <v>110.32677238173365</v>
      </c>
      <c r="R17" s="201">
        <f t="shared" si="1"/>
        <v>2.3693013494680106</v>
      </c>
      <c r="S17" s="323">
        <f t="shared" si="9"/>
        <v>112.69607373120166</v>
      </c>
      <c r="T17" s="201">
        <f t="shared" si="10"/>
        <v>177.27398387973795</v>
      </c>
      <c r="U17" s="328">
        <f t="shared" si="11"/>
        <v>0.36428306475216193</v>
      </c>
      <c r="V17" s="328">
        <f>S17/$T17</f>
        <v>0.63571693524783812</v>
      </c>
    </row>
    <row r="18" spans="2:22">
      <c r="B18" s="37" t="s">
        <v>70</v>
      </c>
      <c r="C18" s="201">
        <f>'Indoor impacts per HH'!O21</f>
        <v>594.07460619990104</v>
      </c>
      <c r="D18" s="201">
        <f>'Indoor impacts per HH'!O23</f>
        <v>15.57549443384184</v>
      </c>
      <c r="E18" s="323">
        <f t="shared" si="2"/>
        <v>609.65010063374291</v>
      </c>
      <c r="F18" s="201">
        <f>'Outdoor impacts per HH'!D16</f>
        <v>2577.557232900569</v>
      </c>
      <c r="G18" s="201">
        <f>'Outdoor impacts per HH'!E16</f>
        <v>55.353833873721314</v>
      </c>
      <c r="H18" s="323">
        <f t="shared" si="3"/>
        <v>2632.9110667742902</v>
      </c>
      <c r="I18" s="201">
        <f t="shared" si="4"/>
        <v>3242.5611674080333</v>
      </c>
      <c r="J18" s="328">
        <f t="shared" si="5"/>
        <v>0.18801498851016943</v>
      </c>
      <c r="K18" s="328">
        <f t="shared" si="12"/>
        <v>0.8119850114898306</v>
      </c>
      <c r="L18" s="76"/>
      <c r="M18" s="660">
        <f>'NZ nat data'!C70</f>
        <v>15531.831390996367</v>
      </c>
      <c r="N18" s="201">
        <f t="shared" si="6"/>
        <v>9.2270666171694291</v>
      </c>
      <c r="O18" s="201">
        <f t="shared" si="0"/>
        <v>0.24191595337783389</v>
      </c>
      <c r="P18" s="323">
        <f t="shared" si="7"/>
        <v>9.4689825705472632</v>
      </c>
      <c r="Q18" s="201">
        <f t="shared" si="8"/>
        <v>40.034184342054793</v>
      </c>
      <c r="R18" s="201">
        <f t="shared" si="1"/>
        <v>0.85974641457186274</v>
      </c>
      <c r="S18" s="323">
        <f t="shared" si="9"/>
        <v>40.893930756626659</v>
      </c>
      <c r="T18" s="201">
        <f t="shared" si="10"/>
        <v>50.362913327173921</v>
      </c>
      <c r="U18" s="328">
        <f t="shared" si="11"/>
        <v>0.18801498851016943</v>
      </c>
      <c r="V18" s="328">
        <f>S18/$T18</f>
        <v>0.8119850114898306</v>
      </c>
    </row>
    <row r="19" spans="2:22">
      <c r="B19" s="50" t="s">
        <v>71</v>
      </c>
      <c r="C19" s="259">
        <f>'Indoor impacts per HH'!P21</f>
        <v>0</v>
      </c>
      <c r="D19" s="259">
        <f>'Indoor impacts per HH'!P23</f>
        <v>0</v>
      </c>
      <c r="E19" s="324">
        <f>SUM(C19:D19)</f>
        <v>0</v>
      </c>
      <c r="F19" s="259">
        <f>'Outdoor impacts per HH'!D17</f>
        <v>0</v>
      </c>
      <c r="G19" s="259">
        <f>'Outdoor impacts per HH'!E17</f>
        <v>0</v>
      </c>
      <c r="H19" s="324">
        <f>SUM(F19:G19)</f>
        <v>0</v>
      </c>
      <c r="I19" s="259">
        <f t="shared" si="4"/>
        <v>0</v>
      </c>
      <c r="J19" s="329" t="str">
        <f t="shared" si="5"/>
        <v>n/a</v>
      </c>
      <c r="K19" s="240" t="s">
        <v>154</v>
      </c>
      <c r="L19" s="88" t="s">
        <v>156</v>
      </c>
      <c r="M19" s="660">
        <f>'NZ nat data'!C71</f>
        <v>44645.397397201348</v>
      </c>
      <c r="N19" s="259">
        <f t="shared" si="6"/>
        <v>0</v>
      </c>
      <c r="O19" s="259">
        <f t="shared" si="0"/>
        <v>0</v>
      </c>
      <c r="P19" s="324">
        <f>SUM(N19:O19)</f>
        <v>0</v>
      </c>
      <c r="Q19" s="259">
        <f t="shared" si="8"/>
        <v>0</v>
      </c>
      <c r="R19" s="259">
        <f t="shared" si="1"/>
        <v>0</v>
      </c>
      <c r="S19" s="324">
        <f>SUM(Q19:R19)</f>
        <v>0</v>
      </c>
      <c r="T19" s="259">
        <f t="shared" si="10"/>
        <v>0</v>
      </c>
      <c r="U19" s="329" t="str">
        <f t="shared" si="11"/>
        <v>n/a</v>
      </c>
      <c r="V19" s="240" t="s">
        <v>154</v>
      </c>
    </row>
    <row r="20" spans="2:22" ht="15">
      <c r="B20" s="26" t="s">
        <v>121</v>
      </c>
      <c r="C20" s="71"/>
      <c r="D20" s="71"/>
      <c r="E20" s="71"/>
      <c r="F20" s="76"/>
      <c r="G20" s="76"/>
      <c r="H20" s="71"/>
      <c r="I20" s="201"/>
      <c r="J20" s="328"/>
      <c r="K20" s="76"/>
      <c r="L20" s="76"/>
      <c r="M20" s="659"/>
      <c r="N20" s="71"/>
      <c r="O20" s="71"/>
      <c r="P20" s="71"/>
      <c r="Q20" s="71"/>
      <c r="R20" s="71"/>
      <c r="S20" s="71"/>
      <c r="T20" s="201"/>
      <c r="U20" s="328"/>
      <c r="V20" s="76"/>
    </row>
    <row r="21" spans="2:22">
      <c r="B21" s="37" t="s">
        <v>64</v>
      </c>
      <c r="C21" s="201">
        <f>'Indoor impacts per HH'!I39</f>
        <v>0</v>
      </c>
      <c r="D21" s="201">
        <f>'Indoor impacts per HH'!I41</f>
        <v>0</v>
      </c>
      <c r="E21" s="323">
        <f>SUM(C21:D21)</f>
        <v>0</v>
      </c>
      <c r="F21" s="201">
        <f>'Outdoor impacts per HH'!D21</f>
        <v>0</v>
      </c>
      <c r="G21" s="201">
        <f>'Outdoor impacts per HH'!E21</f>
        <v>0</v>
      </c>
      <c r="H21" s="323">
        <f>SUM(F21:G21)</f>
        <v>0</v>
      </c>
      <c r="I21" s="201">
        <f t="shared" si="4"/>
        <v>0</v>
      </c>
      <c r="J21" s="328" t="str">
        <f t="shared" si="5"/>
        <v>n/a</v>
      </c>
      <c r="K21" s="239" t="s">
        <v>154</v>
      </c>
      <c r="L21" s="86" t="s">
        <v>155</v>
      </c>
      <c r="M21" s="659"/>
      <c r="N21" s="201">
        <f t="shared" si="6"/>
        <v>0</v>
      </c>
      <c r="O21" s="201">
        <f t="shared" si="0"/>
        <v>0</v>
      </c>
      <c r="P21" s="323">
        <f>SUM(N21:O21)</f>
        <v>0</v>
      </c>
      <c r="Q21" s="201">
        <f t="shared" ref="Q21:Q28" si="13">F21*$M21/10^6</f>
        <v>0</v>
      </c>
      <c r="R21" s="201">
        <f t="shared" ref="R21:R28" si="14">G21*$M21/10^6</f>
        <v>0</v>
      </c>
      <c r="S21" s="323">
        <f>SUM(Q21:R21)</f>
        <v>0</v>
      </c>
      <c r="T21" s="201">
        <f t="shared" ref="T21:T28" si="15">P21+S21</f>
        <v>0</v>
      </c>
      <c r="U21" s="328" t="str">
        <f t="shared" ref="U21:U28" si="16">IFERROR(P21/T21,"n/a")</f>
        <v>n/a</v>
      </c>
      <c r="V21" s="239" t="s">
        <v>154</v>
      </c>
    </row>
    <row r="22" spans="2:22">
      <c r="B22" s="37" t="s">
        <v>65</v>
      </c>
      <c r="C22" s="201">
        <f>'Indoor impacts per HH'!J39</f>
        <v>9057.8529509853452</v>
      </c>
      <c r="D22" s="201">
        <f>'Indoor impacts per HH'!J41</f>
        <v>129.81403968905843</v>
      </c>
      <c r="E22" s="323">
        <f t="shared" ref="E22:E27" si="17">SUM(C22:D22)</f>
        <v>9187.6669906744028</v>
      </c>
      <c r="F22" s="201">
        <f>'Outdoor impacts per HH'!D22</f>
        <v>0</v>
      </c>
      <c r="G22" s="201">
        <f>'Outdoor impacts per HH'!E22</f>
        <v>0</v>
      </c>
      <c r="H22" s="323">
        <f t="shared" ref="H22:H27" si="18">SUM(F22:G22)</f>
        <v>0</v>
      </c>
      <c r="I22" s="201">
        <f t="shared" si="4"/>
        <v>9187.6669906744028</v>
      </c>
      <c r="J22" s="328">
        <f t="shared" si="5"/>
        <v>1</v>
      </c>
      <c r="K22" s="328">
        <f>H22/$I22</f>
        <v>0</v>
      </c>
      <c r="L22" s="86" t="s">
        <v>158</v>
      </c>
      <c r="M22" s="660">
        <f>M13</f>
        <v>360099</v>
      </c>
      <c r="N22" s="201">
        <f t="shared" si="6"/>
        <v>3261.7237897968716</v>
      </c>
      <c r="O22" s="201">
        <f t="shared" si="0"/>
        <v>46.745905877990253</v>
      </c>
      <c r="P22" s="323">
        <f t="shared" ref="P22:P27" si="19">SUM(N22:O22)</f>
        <v>3308.4696956748621</v>
      </c>
      <c r="Q22" s="201">
        <f t="shared" si="13"/>
        <v>0</v>
      </c>
      <c r="R22" s="201">
        <f t="shared" si="14"/>
        <v>0</v>
      </c>
      <c r="S22" s="323">
        <f t="shared" ref="S22:S27" si="20">SUM(Q22:R22)</f>
        <v>0</v>
      </c>
      <c r="T22" s="201">
        <f t="shared" si="15"/>
        <v>3308.4696956748621</v>
      </c>
      <c r="U22" s="328">
        <f t="shared" si="16"/>
        <v>1</v>
      </c>
      <c r="V22" s="328">
        <f>S22/$T22</f>
        <v>0</v>
      </c>
    </row>
    <row r="23" spans="2:22" ht="15">
      <c r="B23" s="37" t="s">
        <v>66</v>
      </c>
      <c r="C23" s="201">
        <f>'Indoor impacts per HH'!K39</f>
        <v>0</v>
      </c>
      <c r="D23" s="201">
        <f>'Indoor impacts per HH'!K41</f>
        <v>0</v>
      </c>
      <c r="E23" s="323">
        <f t="shared" si="17"/>
        <v>0</v>
      </c>
      <c r="F23" s="201">
        <f>'Outdoor impacts per HH'!D23</f>
        <v>0</v>
      </c>
      <c r="G23" s="201">
        <f>'Outdoor impacts per HH'!E23</f>
        <v>0</v>
      </c>
      <c r="H23" s="323">
        <f t="shared" si="18"/>
        <v>0</v>
      </c>
      <c r="I23" s="201">
        <f t="shared" si="4"/>
        <v>0</v>
      </c>
      <c r="J23" s="328" t="str">
        <f t="shared" si="5"/>
        <v>n/a</v>
      </c>
      <c r="K23" s="239" t="s">
        <v>154</v>
      </c>
      <c r="L23" s="86" t="s">
        <v>159</v>
      </c>
      <c r="M23" s="660">
        <f t="shared" ref="M23:M28" si="21">M14</f>
        <v>1973.0777142229585</v>
      </c>
      <c r="N23" s="201">
        <f t="shared" si="6"/>
        <v>0</v>
      </c>
      <c r="O23" s="201">
        <f t="shared" si="0"/>
        <v>0</v>
      </c>
      <c r="P23" s="323">
        <f t="shared" si="19"/>
        <v>0</v>
      </c>
      <c r="Q23" s="201">
        <f t="shared" si="13"/>
        <v>0</v>
      </c>
      <c r="R23" s="201">
        <f t="shared" si="14"/>
        <v>0</v>
      </c>
      <c r="S23" s="323">
        <f t="shared" si="20"/>
        <v>0</v>
      </c>
      <c r="T23" s="201">
        <f t="shared" si="15"/>
        <v>0</v>
      </c>
      <c r="U23" s="328" t="str">
        <f t="shared" si="16"/>
        <v>n/a</v>
      </c>
      <c r="V23" s="239" t="s">
        <v>154</v>
      </c>
    </row>
    <row r="24" spans="2:22" ht="15">
      <c r="B24" s="37" t="s">
        <v>67</v>
      </c>
      <c r="C24" s="201">
        <f>'Indoor impacts per HH'!L39</f>
        <v>0</v>
      </c>
      <c r="D24" s="201">
        <f>'Indoor impacts per HH'!L41</f>
        <v>0</v>
      </c>
      <c r="E24" s="323">
        <f t="shared" si="17"/>
        <v>0</v>
      </c>
      <c r="F24" s="201">
        <f>'Outdoor impacts per HH'!D24</f>
        <v>0</v>
      </c>
      <c r="G24" s="201">
        <f>'Outdoor impacts per HH'!E24</f>
        <v>0</v>
      </c>
      <c r="H24" s="323">
        <f t="shared" si="18"/>
        <v>0</v>
      </c>
      <c r="I24" s="201">
        <f t="shared" si="4"/>
        <v>0</v>
      </c>
      <c r="J24" s="328" t="str">
        <f t="shared" si="5"/>
        <v>n/a</v>
      </c>
      <c r="K24" s="239" t="s">
        <v>154</v>
      </c>
      <c r="L24" s="86" t="s">
        <v>159</v>
      </c>
      <c r="M24" s="660">
        <f t="shared" si="21"/>
        <v>101236.28659302443</v>
      </c>
      <c r="N24" s="201">
        <f t="shared" si="6"/>
        <v>0</v>
      </c>
      <c r="O24" s="201">
        <f t="shared" si="0"/>
        <v>0</v>
      </c>
      <c r="P24" s="323">
        <f t="shared" si="19"/>
        <v>0</v>
      </c>
      <c r="Q24" s="201">
        <f t="shared" si="13"/>
        <v>0</v>
      </c>
      <c r="R24" s="201">
        <f t="shared" si="14"/>
        <v>0</v>
      </c>
      <c r="S24" s="323">
        <f t="shared" si="20"/>
        <v>0</v>
      </c>
      <c r="T24" s="201">
        <f t="shared" si="15"/>
        <v>0</v>
      </c>
      <c r="U24" s="328" t="str">
        <f t="shared" si="16"/>
        <v>n/a</v>
      </c>
      <c r="V24" s="239" t="s">
        <v>154</v>
      </c>
    </row>
    <row r="25" spans="2:22" ht="15">
      <c r="B25" s="37" t="s">
        <v>68</v>
      </c>
      <c r="C25" s="201">
        <f>'Indoor impacts per HH'!M39</f>
        <v>0</v>
      </c>
      <c r="D25" s="201">
        <f>'Indoor impacts per HH'!M41</f>
        <v>0</v>
      </c>
      <c r="E25" s="323">
        <f t="shared" si="17"/>
        <v>0</v>
      </c>
      <c r="F25" s="201">
        <f>'Outdoor impacts per HH'!D25</f>
        <v>0</v>
      </c>
      <c r="G25" s="201">
        <f>'Outdoor impacts per HH'!E25</f>
        <v>0</v>
      </c>
      <c r="H25" s="323">
        <f t="shared" si="18"/>
        <v>0</v>
      </c>
      <c r="I25" s="201">
        <f t="shared" si="4"/>
        <v>0</v>
      </c>
      <c r="J25" s="328" t="str">
        <f t="shared" si="5"/>
        <v>n/a</v>
      </c>
      <c r="K25" s="239" t="s">
        <v>154</v>
      </c>
      <c r="L25" s="86" t="s">
        <v>159</v>
      </c>
      <c r="M25" s="660">
        <f t="shared" si="21"/>
        <v>369512.44606453914</v>
      </c>
      <c r="N25" s="201">
        <f t="shared" si="6"/>
        <v>0</v>
      </c>
      <c r="O25" s="201">
        <f t="shared" si="0"/>
        <v>0</v>
      </c>
      <c r="P25" s="323">
        <f t="shared" si="19"/>
        <v>0</v>
      </c>
      <c r="Q25" s="201">
        <f t="shared" si="13"/>
        <v>0</v>
      </c>
      <c r="R25" s="201">
        <f t="shared" si="14"/>
        <v>0</v>
      </c>
      <c r="S25" s="323">
        <f t="shared" si="20"/>
        <v>0</v>
      </c>
      <c r="T25" s="201">
        <f t="shared" si="15"/>
        <v>0</v>
      </c>
      <c r="U25" s="328" t="str">
        <f t="shared" si="16"/>
        <v>n/a</v>
      </c>
      <c r="V25" s="239" t="s">
        <v>154</v>
      </c>
    </row>
    <row r="26" spans="2:22" ht="15">
      <c r="B26" s="37" t="s">
        <v>69</v>
      </c>
      <c r="C26" s="201">
        <f>'Indoor impacts per HH'!N39</f>
        <v>0</v>
      </c>
      <c r="D26" s="201">
        <f>'Indoor impacts per HH'!N41</f>
        <v>0</v>
      </c>
      <c r="E26" s="323">
        <f t="shared" si="17"/>
        <v>0</v>
      </c>
      <c r="F26" s="201">
        <f>'Outdoor impacts per HH'!D26</f>
        <v>0</v>
      </c>
      <c r="G26" s="201">
        <f>'Outdoor impacts per HH'!E26</f>
        <v>0</v>
      </c>
      <c r="H26" s="323">
        <f t="shared" si="18"/>
        <v>0</v>
      </c>
      <c r="I26" s="201">
        <f t="shared" si="4"/>
        <v>0</v>
      </c>
      <c r="J26" s="328" t="str">
        <f t="shared" si="5"/>
        <v>n/a</v>
      </c>
      <c r="K26" s="239" t="s">
        <v>154</v>
      </c>
      <c r="L26" s="86" t="s">
        <v>159</v>
      </c>
      <c r="M26" s="660">
        <f t="shared" si="21"/>
        <v>35432.700307558553</v>
      </c>
      <c r="N26" s="201">
        <f t="shared" si="6"/>
        <v>0</v>
      </c>
      <c r="O26" s="201">
        <f t="shared" si="0"/>
        <v>0</v>
      </c>
      <c r="P26" s="323">
        <f t="shared" si="19"/>
        <v>0</v>
      </c>
      <c r="Q26" s="201">
        <f t="shared" si="13"/>
        <v>0</v>
      </c>
      <c r="R26" s="201">
        <f t="shared" si="14"/>
        <v>0</v>
      </c>
      <c r="S26" s="323">
        <f t="shared" si="20"/>
        <v>0</v>
      </c>
      <c r="T26" s="201">
        <f t="shared" si="15"/>
        <v>0</v>
      </c>
      <c r="U26" s="328" t="str">
        <f t="shared" si="16"/>
        <v>n/a</v>
      </c>
      <c r="V26" s="239" t="s">
        <v>154</v>
      </c>
    </row>
    <row r="27" spans="2:22" ht="15">
      <c r="B27" s="37" t="s">
        <v>70</v>
      </c>
      <c r="C27" s="201">
        <f>'Indoor impacts per HH'!O39</f>
        <v>0</v>
      </c>
      <c r="D27" s="201">
        <f>'Indoor impacts per HH'!O41</f>
        <v>0</v>
      </c>
      <c r="E27" s="323">
        <f t="shared" si="17"/>
        <v>0</v>
      </c>
      <c r="F27" s="201">
        <f>'Outdoor impacts per HH'!D27</f>
        <v>0</v>
      </c>
      <c r="G27" s="201">
        <f>'Outdoor impacts per HH'!E27</f>
        <v>0</v>
      </c>
      <c r="H27" s="323">
        <f t="shared" si="18"/>
        <v>0</v>
      </c>
      <c r="I27" s="201">
        <f t="shared" si="4"/>
        <v>0</v>
      </c>
      <c r="J27" s="328" t="str">
        <f t="shared" si="5"/>
        <v>n/a</v>
      </c>
      <c r="K27" s="239" t="s">
        <v>154</v>
      </c>
      <c r="L27" s="86" t="s">
        <v>159</v>
      </c>
      <c r="M27" s="660">
        <f t="shared" si="21"/>
        <v>15531.831390996367</v>
      </c>
      <c r="N27" s="201">
        <f t="shared" si="6"/>
        <v>0</v>
      </c>
      <c r="O27" s="201">
        <f t="shared" si="0"/>
        <v>0</v>
      </c>
      <c r="P27" s="323">
        <f t="shared" si="19"/>
        <v>0</v>
      </c>
      <c r="Q27" s="201">
        <f t="shared" si="13"/>
        <v>0</v>
      </c>
      <c r="R27" s="201">
        <f t="shared" si="14"/>
        <v>0</v>
      </c>
      <c r="S27" s="323">
        <f t="shared" si="20"/>
        <v>0</v>
      </c>
      <c r="T27" s="201">
        <f t="shared" si="15"/>
        <v>0</v>
      </c>
      <c r="U27" s="328" t="str">
        <f t="shared" si="16"/>
        <v>n/a</v>
      </c>
      <c r="V27" s="239" t="s">
        <v>154</v>
      </c>
    </row>
    <row r="28" spans="2:22">
      <c r="B28" s="50" t="s">
        <v>71</v>
      </c>
      <c r="C28" s="259">
        <f>'Indoor impacts per HH'!P39</f>
        <v>20147.830585658019</v>
      </c>
      <c r="D28" s="259">
        <f>'Indoor impacts per HH'!P41</f>
        <v>287.69099967611567</v>
      </c>
      <c r="E28" s="324">
        <f>SUM(C28:D28)</f>
        <v>20435.521585334136</v>
      </c>
      <c r="F28" s="259">
        <f>'Outdoor impacts per HH'!D28</f>
        <v>0</v>
      </c>
      <c r="G28" s="259">
        <f>'Outdoor impacts per HH'!E28</f>
        <v>0</v>
      </c>
      <c r="H28" s="324">
        <f>SUM(F28:G28)</f>
        <v>0</v>
      </c>
      <c r="I28" s="259">
        <f t="shared" si="4"/>
        <v>20435.521585334136</v>
      </c>
      <c r="J28" s="330">
        <f t="shared" si="5"/>
        <v>1</v>
      </c>
      <c r="K28" s="330">
        <f>H28/$I28</f>
        <v>0</v>
      </c>
      <c r="L28" s="202" t="s">
        <v>158</v>
      </c>
      <c r="M28" s="660">
        <f t="shared" si="21"/>
        <v>44645.397397201348</v>
      </c>
      <c r="N28" s="259">
        <f t="shared" si="6"/>
        <v>899.5079031881902</v>
      </c>
      <c r="O28" s="259">
        <f t="shared" si="0"/>
        <v>12.844079008138308</v>
      </c>
      <c r="P28" s="324">
        <f>SUM(N28:O28)</f>
        <v>912.35198219632855</v>
      </c>
      <c r="Q28" s="259">
        <f t="shared" si="13"/>
        <v>0</v>
      </c>
      <c r="R28" s="259">
        <f t="shared" si="14"/>
        <v>0</v>
      </c>
      <c r="S28" s="324">
        <f>SUM(Q28:R28)</f>
        <v>0</v>
      </c>
      <c r="T28" s="259">
        <f t="shared" si="15"/>
        <v>912.35198219632855</v>
      </c>
      <c r="U28" s="330">
        <f t="shared" si="16"/>
        <v>1</v>
      </c>
      <c r="V28" s="330">
        <f>S28/$T28</f>
        <v>0</v>
      </c>
    </row>
    <row r="29" spans="2:22" ht="15">
      <c r="B29" s="347" t="s">
        <v>160</v>
      </c>
      <c r="C29" s="71"/>
      <c r="D29" s="71"/>
      <c r="E29" s="71"/>
      <c r="F29" s="76"/>
      <c r="G29" s="76"/>
      <c r="H29" s="71"/>
      <c r="I29" s="201"/>
      <c r="J29" s="328"/>
      <c r="K29" s="76"/>
      <c r="L29" s="76"/>
      <c r="M29" s="659"/>
      <c r="N29" s="71"/>
      <c r="O29" s="71"/>
      <c r="P29" s="71"/>
      <c r="Q29" s="71"/>
      <c r="R29" s="71"/>
      <c r="S29" s="71"/>
      <c r="T29" s="201"/>
      <c r="U29" s="328"/>
      <c r="V29" s="76"/>
    </row>
    <row r="30" spans="2:22">
      <c r="B30" s="37" t="s">
        <v>64</v>
      </c>
      <c r="C30" s="201">
        <f>C12+C21</f>
        <v>0</v>
      </c>
      <c r="D30" s="201">
        <f>D12+D21</f>
        <v>0</v>
      </c>
      <c r="E30" s="323">
        <f>SUM(C30:D30)</f>
        <v>0</v>
      </c>
      <c r="F30" s="201">
        <f t="shared" ref="F30:G30" si="22">F12+F21</f>
        <v>0</v>
      </c>
      <c r="G30" s="201">
        <f t="shared" si="22"/>
        <v>0</v>
      </c>
      <c r="H30" s="323">
        <f>SUM(F30:G30)</f>
        <v>0</v>
      </c>
      <c r="I30" s="201">
        <f t="shared" si="4"/>
        <v>0</v>
      </c>
      <c r="J30" s="328" t="str">
        <f t="shared" ref="J30:J37" si="23">IFERROR(E30/I30,"n/a")</f>
        <v>n/a</v>
      </c>
      <c r="K30" s="239" t="s">
        <v>154</v>
      </c>
      <c r="L30" s="86" t="s">
        <v>155</v>
      </c>
      <c r="M30" s="659"/>
      <c r="N30" s="201">
        <f>N12+N21</f>
        <v>0</v>
      </c>
      <c r="O30" s="201">
        <f>O12+O21</f>
        <v>0</v>
      </c>
      <c r="P30" s="323">
        <f>SUM(N30:O30)</f>
        <v>0</v>
      </c>
      <c r="Q30" s="201">
        <f>Q12+Q21</f>
        <v>0</v>
      </c>
      <c r="R30" s="201">
        <f>R12+R21</f>
        <v>0</v>
      </c>
      <c r="S30" s="323">
        <f>SUM(Q30:R30)</f>
        <v>0</v>
      </c>
      <c r="T30" s="201">
        <f t="shared" ref="T30:T37" si="24">P30+S30</f>
        <v>0</v>
      </c>
      <c r="U30" s="328" t="str">
        <f t="shared" ref="U30:U37" si="25">IFERROR(P30/T30,"n/a")</f>
        <v>n/a</v>
      </c>
      <c r="V30" s="239" t="s">
        <v>154</v>
      </c>
    </row>
    <row r="31" spans="2:22">
      <c r="B31" s="37" t="s">
        <v>65</v>
      </c>
      <c r="C31" s="201">
        <f t="shared" ref="C31:D37" si="26">C13+C22</f>
        <v>9057.8529509853452</v>
      </c>
      <c r="D31" s="201">
        <f t="shared" si="26"/>
        <v>129.81403968905843</v>
      </c>
      <c r="E31" s="323">
        <f t="shared" ref="E31:E36" si="27">SUM(C31:D31)</f>
        <v>9187.6669906744028</v>
      </c>
      <c r="F31" s="201">
        <f t="shared" ref="F31:G31" si="28">F13+F22</f>
        <v>0</v>
      </c>
      <c r="G31" s="201">
        <f t="shared" si="28"/>
        <v>0</v>
      </c>
      <c r="H31" s="323">
        <f t="shared" ref="H31:H36" si="29">SUM(F31:G31)</f>
        <v>0</v>
      </c>
      <c r="I31" s="201">
        <f t="shared" si="4"/>
        <v>9187.6669906744028</v>
      </c>
      <c r="J31" s="328">
        <f t="shared" si="23"/>
        <v>1</v>
      </c>
      <c r="K31" s="328">
        <f>H31/$I31</f>
        <v>0</v>
      </c>
      <c r="L31" s="120"/>
      <c r="M31" s="659"/>
      <c r="N31" s="201">
        <f t="shared" ref="N31:O31" si="30">N13+N22</f>
        <v>3261.7237897968716</v>
      </c>
      <c r="O31" s="201">
        <f t="shared" si="30"/>
        <v>46.745905877990253</v>
      </c>
      <c r="P31" s="323">
        <f t="shared" ref="P31:P36" si="31">SUM(N31:O31)</f>
        <v>3308.4696956748621</v>
      </c>
      <c r="Q31" s="201">
        <f t="shared" ref="Q31:R31" si="32">Q13+Q22</f>
        <v>0</v>
      </c>
      <c r="R31" s="201">
        <f t="shared" si="32"/>
        <v>0</v>
      </c>
      <c r="S31" s="323">
        <f t="shared" ref="S31:S36" si="33">SUM(Q31:R31)</f>
        <v>0</v>
      </c>
      <c r="T31" s="201">
        <f t="shared" si="24"/>
        <v>3308.4696956748621</v>
      </c>
      <c r="U31" s="328">
        <f t="shared" si="25"/>
        <v>1</v>
      </c>
      <c r="V31" s="328">
        <f t="shared" ref="V31:V37" si="34">S31/$T31</f>
        <v>0</v>
      </c>
    </row>
    <row r="32" spans="2:22" ht="15">
      <c r="B32" s="37" t="s">
        <v>66</v>
      </c>
      <c r="C32" s="201">
        <f t="shared" si="26"/>
        <v>51911.093743613797</v>
      </c>
      <c r="D32" s="201">
        <f t="shared" si="26"/>
        <v>1490.1634612575203</v>
      </c>
      <c r="E32" s="323">
        <f t="shared" si="27"/>
        <v>53401.257204871319</v>
      </c>
      <c r="F32" s="201">
        <f t="shared" ref="F32:G32" si="35">F14+F23</f>
        <v>26188.227499671339</v>
      </c>
      <c r="G32" s="201">
        <f t="shared" si="35"/>
        <v>562.40023537042725</v>
      </c>
      <c r="H32" s="323">
        <f t="shared" si="29"/>
        <v>26750.627735041766</v>
      </c>
      <c r="I32" s="201">
        <f t="shared" si="4"/>
        <v>80151.884939913085</v>
      </c>
      <c r="J32" s="328">
        <f t="shared" si="23"/>
        <v>0.66625079678293619</v>
      </c>
      <c r="K32" s="328">
        <f t="shared" ref="K32:K36" si="36">H32/$I32</f>
        <v>0.33374920321706375</v>
      </c>
      <c r="L32" s="86" t="s">
        <v>159</v>
      </c>
      <c r="M32" s="659"/>
      <c r="N32" s="201">
        <f t="shared" ref="N32:O32" si="37">N14+N23</f>
        <v>102.42462218646324</v>
      </c>
      <c r="O32" s="201">
        <f t="shared" si="37"/>
        <v>2.9402083159565606</v>
      </c>
      <c r="P32" s="323">
        <f t="shared" si="31"/>
        <v>105.36483050241981</v>
      </c>
      <c r="Q32" s="201">
        <f t="shared" ref="Q32:R32" si="38">Q14+Q23</f>
        <v>51.671408054602345</v>
      </c>
      <c r="R32" s="201">
        <f t="shared" si="38"/>
        <v>1.1096593708831366</v>
      </c>
      <c r="S32" s="323">
        <f t="shared" si="33"/>
        <v>52.781067425485482</v>
      </c>
      <c r="T32" s="201">
        <f t="shared" si="24"/>
        <v>158.14589792790528</v>
      </c>
      <c r="U32" s="328">
        <f t="shared" si="25"/>
        <v>0.66625079678293631</v>
      </c>
      <c r="V32" s="328">
        <f t="shared" si="34"/>
        <v>0.33374920321706375</v>
      </c>
    </row>
    <row r="33" spans="1:22" ht="15">
      <c r="B33" s="37" t="s">
        <v>67</v>
      </c>
      <c r="C33" s="201">
        <f t="shared" si="26"/>
        <v>7480.2764886046307</v>
      </c>
      <c r="D33" s="201">
        <f t="shared" si="26"/>
        <v>198.2843157124816</v>
      </c>
      <c r="E33" s="323">
        <f t="shared" si="27"/>
        <v>7678.5608043171123</v>
      </c>
      <c r="F33" s="201">
        <f t="shared" ref="F33:G33" si="39">F15+F24</f>
        <v>16611.58550004696</v>
      </c>
      <c r="G33" s="201">
        <f t="shared" si="39"/>
        <v>356.7389047318926</v>
      </c>
      <c r="H33" s="323">
        <f t="shared" si="29"/>
        <v>16968.324404778854</v>
      </c>
      <c r="I33" s="201">
        <f t="shared" si="4"/>
        <v>24646.885209095966</v>
      </c>
      <c r="J33" s="328">
        <f t="shared" si="23"/>
        <v>0.31154284767323576</v>
      </c>
      <c r="K33" s="328">
        <f t="shared" si="36"/>
        <v>0.68845715232676419</v>
      </c>
      <c r="L33" s="86" t="s">
        <v>159</v>
      </c>
      <c r="M33" s="659"/>
      <c r="N33" s="201">
        <f t="shared" ref="N33:O33" si="40">N15+N24</f>
        <v>757.27541439544086</v>
      </c>
      <c r="O33" s="201">
        <f t="shared" si="40"/>
        <v>20.073567812370523</v>
      </c>
      <c r="P33" s="323">
        <f t="shared" si="31"/>
        <v>777.34898220781133</v>
      </c>
      <c r="Q33" s="201">
        <f t="shared" ref="Q33:R33" si="41">Q15+Q24</f>
        <v>1681.6952304472829</v>
      </c>
      <c r="R33" s="201">
        <f t="shared" si="41"/>
        <v>36.114921998319524</v>
      </c>
      <c r="S33" s="323">
        <f t="shared" si="33"/>
        <v>1717.8101524456024</v>
      </c>
      <c r="T33" s="201">
        <f t="shared" si="24"/>
        <v>2495.1591346534137</v>
      </c>
      <c r="U33" s="328">
        <f t="shared" si="25"/>
        <v>0.31154284767323581</v>
      </c>
      <c r="V33" s="328">
        <f t="shared" si="34"/>
        <v>0.68845715232676419</v>
      </c>
    </row>
    <row r="34" spans="1:22" ht="15">
      <c r="B34" s="37" t="s">
        <v>68</v>
      </c>
      <c r="C34" s="201">
        <f t="shared" si="26"/>
        <v>1775.9036434290026</v>
      </c>
      <c r="D34" s="201">
        <f t="shared" si="26"/>
        <v>46.647547645769748</v>
      </c>
      <c r="E34" s="323">
        <f t="shared" si="27"/>
        <v>1822.5511910747723</v>
      </c>
      <c r="F34" s="201">
        <f t="shared" ref="F34:G34" si="42">F16+F25</f>
        <v>12081.153090943244</v>
      </c>
      <c r="G34" s="201">
        <f t="shared" si="42"/>
        <v>259.44647616864921</v>
      </c>
      <c r="H34" s="323">
        <f t="shared" si="29"/>
        <v>12340.599567111893</v>
      </c>
      <c r="I34" s="201">
        <f t="shared" si="4"/>
        <v>14163.150758186664</v>
      </c>
      <c r="J34" s="328">
        <f t="shared" si="23"/>
        <v>0.12868260898947861</v>
      </c>
      <c r="K34" s="328">
        <f t="shared" si="36"/>
        <v>0.87131739101052141</v>
      </c>
      <c r="L34" s="86" t="s">
        <v>159</v>
      </c>
      <c r="M34" s="659"/>
      <c r="N34" s="201">
        <f t="shared" ref="N34:O34" si="43">N16+N25</f>
        <v>656.21849925837796</v>
      </c>
      <c r="O34" s="201">
        <f t="shared" si="43"/>
        <v>17.236849433500513</v>
      </c>
      <c r="P34" s="323">
        <f t="shared" si="31"/>
        <v>673.4553486918785</v>
      </c>
      <c r="Q34" s="201">
        <f t="shared" ref="Q34:R34" si="44">Q16+Q25</f>
        <v>4464.1364299146062</v>
      </c>
      <c r="R34" s="201">
        <f t="shared" si="44"/>
        <v>95.868702031902728</v>
      </c>
      <c r="S34" s="323">
        <f t="shared" si="33"/>
        <v>4560.0051319465092</v>
      </c>
      <c r="T34" s="201">
        <f t="shared" si="24"/>
        <v>5233.4604806383877</v>
      </c>
      <c r="U34" s="328">
        <f t="shared" si="25"/>
        <v>0.12868260898947861</v>
      </c>
      <c r="V34" s="328">
        <f t="shared" si="34"/>
        <v>0.87131739101052141</v>
      </c>
    </row>
    <row r="35" spans="1:22" ht="15">
      <c r="B35" s="37" t="s">
        <v>69</v>
      </c>
      <c r="C35" s="201">
        <f t="shared" si="26"/>
        <v>1775.9036434290026</v>
      </c>
      <c r="D35" s="201">
        <f t="shared" si="26"/>
        <v>46.647547645769748</v>
      </c>
      <c r="E35" s="323">
        <f t="shared" si="27"/>
        <v>1822.5511910747723</v>
      </c>
      <c r="F35" s="201">
        <f t="shared" ref="F35:G35" si="45">F17+F26</f>
        <v>3113.6992502431035</v>
      </c>
      <c r="G35" s="201">
        <f t="shared" si="45"/>
        <v>66.867648497074541</v>
      </c>
      <c r="H35" s="323">
        <f t="shared" si="29"/>
        <v>3180.5668987401782</v>
      </c>
      <c r="I35" s="201">
        <f t="shared" si="4"/>
        <v>5003.1180898149505</v>
      </c>
      <c r="J35" s="328">
        <f t="shared" si="23"/>
        <v>0.36428306475216193</v>
      </c>
      <c r="K35" s="328">
        <f t="shared" si="36"/>
        <v>0.63571693524783812</v>
      </c>
      <c r="L35" s="86" t="s">
        <v>159</v>
      </c>
      <c r="M35" s="659"/>
      <c r="N35" s="201">
        <f t="shared" ref="N35:O35" si="46">N17+N26</f>
        <v>62.925061572721177</v>
      </c>
      <c r="O35" s="201">
        <f t="shared" si="46"/>
        <v>1.6528485758151179</v>
      </c>
      <c r="P35" s="323">
        <f t="shared" si="31"/>
        <v>64.57791014853629</v>
      </c>
      <c r="Q35" s="201">
        <f t="shared" ref="Q35:R35" si="47">Q17+Q26</f>
        <v>110.32677238173365</v>
      </c>
      <c r="R35" s="201">
        <f t="shared" si="47"/>
        <v>2.3693013494680106</v>
      </c>
      <c r="S35" s="323">
        <f t="shared" si="33"/>
        <v>112.69607373120166</v>
      </c>
      <c r="T35" s="201">
        <f t="shared" si="24"/>
        <v>177.27398387973795</v>
      </c>
      <c r="U35" s="328">
        <f t="shared" si="25"/>
        <v>0.36428306475216193</v>
      </c>
      <c r="V35" s="328">
        <f t="shared" si="34"/>
        <v>0.63571693524783812</v>
      </c>
    </row>
    <row r="36" spans="1:22" ht="15">
      <c r="B36" s="37" t="s">
        <v>70</v>
      </c>
      <c r="C36" s="201">
        <f t="shared" si="26"/>
        <v>594.07460619990104</v>
      </c>
      <c r="D36" s="201">
        <f t="shared" si="26"/>
        <v>15.57549443384184</v>
      </c>
      <c r="E36" s="323">
        <f t="shared" si="27"/>
        <v>609.65010063374291</v>
      </c>
      <c r="F36" s="201">
        <f t="shared" ref="F36:G36" si="48">F18+F27</f>
        <v>2577.557232900569</v>
      </c>
      <c r="G36" s="201">
        <f t="shared" si="48"/>
        <v>55.353833873721314</v>
      </c>
      <c r="H36" s="323">
        <f t="shared" si="29"/>
        <v>2632.9110667742902</v>
      </c>
      <c r="I36" s="201">
        <f t="shared" si="4"/>
        <v>3242.5611674080333</v>
      </c>
      <c r="J36" s="328">
        <f t="shared" si="23"/>
        <v>0.18801498851016943</v>
      </c>
      <c r="K36" s="328">
        <f t="shared" si="36"/>
        <v>0.8119850114898306</v>
      </c>
      <c r="L36" s="86" t="s">
        <v>159</v>
      </c>
      <c r="M36" s="659"/>
      <c r="N36" s="201">
        <f t="shared" ref="N36:O36" si="49">N18+N27</f>
        <v>9.2270666171694291</v>
      </c>
      <c r="O36" s="201">
        <f t="shared" si="49"/>
        <v>0.24191595337783389</v>
      </c>
      <c r="P36" s="323">
        <f t="shared" si="31"/>
        <v>9.4689825705472632</v>
      </c>
      <c r="Q36" s="201">
        <f t="shared" ref="Q36:R36" si="50">Q18+Q27</f>
        <v>40.034184342054793</v>
      </c>
      <c r="R36" s="201">
        <f t="shared" si="50"/>
        <v>0.85974641457186274</v>
      </c>
      <c r="S36" s="323">
        <f t="shared" si="33"/>
        <v>40.893930756626659</v>
      </c>
      <c r="T36" s="201">
        <f t="shared" si="24"/>
        <v>50.362913327173921</v>
      </c>
      <c r="U36" s="328">
        <f t="shared" si="25"/>
        <v>0.18801498851016943</v>
      </c>
      <c r="V36" s="328">
        <f t="shared" si="34"/>
        <v>0.8119850114898306</v>
      </c>
    </row>
    <row r="37" spans="1:22">
      <c r="B37" s="50" t="s">
        <v>71</v>
      </c>
      <c r="C37" s="259">
        <f t="shared" si="26"/>
        <v>20147.830585658019</v>
      </c>
      <c r="D37" s="259">
        <f t="shared" si="26"/>
        <v>287.69099967611567</v>
      </c>
      <c r="E37" s="324">
        <f>SUM(C37:D37)</f>
        <v>20435.521585334136</v>
      </c>
      <c r="F37" s="259">
        <f t="shared" ref="F37:G37" si="51">F19+F28</f>
        <v>0</v>
      </c>
      <c r="G37" s="259">
        <f t="shared" si="51"/>
        <v>0</v>
      </c>
      <c r="H37" s="324">
        <f>SUM(F37:G37)</f>
        <v>0</v>
      </c>
      <c r="I37" s="259">
        <f t="shared" si="4"/>
        <v>20435.521585334136</v>
      </c>
      <c r="J37" s="330">
        <f t="shared" si="23"/>
        <v>1</v>
      </c>
      <c r="K37" s="330">
        <f>H37/$I37</f>
        <v>0</v>
      </c>
      <c r="L37" s="202" t="s">
        <v>158</v>
      </c>
      <c r="M37" s="659"/>
      <c r="N37" s="259">
        <f t="shared" ref="N37:O37" si="52">N19+N28</f>
        <v>899.5079031881902</v>
      </c>
      <c r="O37" s="259">
        <f t="shared" si="52"/>
        <v>12.844079008138308</v>
      </c>
      <c r="P37" s="324">
        <f>SUM(N37:O37)</f>
        <v>912.35198219632855</v>
      </c>
      <c r="Q37" s="259">
        <f t="shared" ref="Q37:R37" si="53">Q19+Q28</f>
        <v>0</v>
      </c>
      <c r="R37" s="259">
        <f t="shared" si="53"/>
        <v>0</v>
      </c>
      <c r="S37" s="324">
        <f>SUM(Q37:R37)</f>
        <v>0</v>
      </c>
      <c r="T37" s="259">
        <f t="shared" si="24"/>
        <v>912.35198219632855</v>
      </c>
      <c r="U37" s="330">
        <f t="shared" si="25"/>
        <v>1</v>
      </c>
      <c r="V37" s="330">
        <f t="shared" si="34"/>
        <v>0</v>
      </c>
    </row>
    <row r="40" spans="1:22" ht="15.6">
      <c r="A40" s="241" t="s">
        <v>161</v>
      </c>
      <c r="B40" s="434"/>
    </row>
    <row r="41" spans="1:22">
      <c r="F41" s="358" t="s">
        <v>141</v>
      </c>
      <c r="G41" s="174"/>
      <c r="H41" s="174"/>
      <c r="I41" s="174"/>
    </row>
    <row r="42" spans="1:22">
      <c r="B42" s="444" t="s">
        <v>131</v>
      </c>
      <c r="C42" s="716" t="s">
        <v>142</v>
      </c>
      <c r="D42" s="717"/>
      <c r="E42" s="717"/>
      <c r="F42" s="717"/>
      <c r="G42" s="717"/>
      <c r="H42" s="717"/>
      <c r="I42" s="717"/>
      <c r="J42" s="717"/>
      <c r="K42" s="717"/>
      <c r="L42" s="314"/>
      <c r="M42" s="720" t="s">
        <v>143</v>
      </c>
      <c r="N42" s="716" t="s">
        <v>144</v>
      </c>
      <c r="O42" s="717"/>
      <c r="P42" s="717"/>
      <c r="Q42" s="717"/>
      <c r="R42" s="717"/>
      <c r="S42" s="717"/>
      <c r="T42" s="717"/>
      <c r="U42" s="717"/>
      <c r="V42" s="717"/>
    </row>
    <row r="43" spans="1:22">
      <c r="B43" s="12"/>
      <c r="C43" s="325" t="s">
        <v>145</v>
      </c>
      <c r="D43" s="325" t="s">
        <v>146</v>
      </c>
      <c r="E43" s="200" t="s">
        <v>147</v>
      </c>
      <c r="F43" s="326" t="s">
        <v>148</v>
      </c>
      <c r="G43" s="327" t="s">
        <v>149</v>
      </c>
      <c r="H43" s="322" t="s">
        <v>150</v>
      </c>
      <c r="I43" s="315" t="s">
        <v>151</v>
      </c>
      <c r="J43" s="325" t="s">
        <v>152</v>
      </c>
      <c r="K43" s="326" t="s">
        <v>153</v>
      </c>
      <c r="L43" s="51"/>
      <c r="M43" s="721"/>
      <c r="N43" s="325" t="s">
        <v>145</v>
      </c>
      <c r="O43" s="325" t="s">
        <v>146</v>
      </c>
      <c r="P43" s="200" t="s">
        <v>147</v>
      </c>
      <c r="Q43" s="326" t="s">
        <v>148</v>
      </c>
      <c r="R43" s="327" t="s">
        <v>149</v>
      </c>
      <c r="S43" s="322" t="s">
        <v>150</v>
      </c>
      <c r="T43" s="315" t="s">
        <v>151</v>
      </c>
      <c r="U43" s="325" t="s">
        <v>152</v>
      </c>
      <c r="V43" s="326" t="s">
        <v>153</v>
      </c>
    </row>
    <row r="44" spans="1:22" ht="15">
      <c r="B44" s="15" t="s">
        <v>107</v>
      </c>
      <c r="C44" s="35"/>
      <c r="D44" s="35"/>
      <c r="E44" s="35"/>
      <c r="F44" s="21"/>
      <c r="G44" s="21"/>
      <c r="H44" s="21"/>
      <c r="I44" s="21"/>
      <c r="J44" s="21"/>
      <c r="K44" s="21"/>
      <c r="L44" s="21"/>
      <c r="M44" s="659"/>
      <c r="N44" s="35"/>
      <c r="O44" s="35"/>
      <c r="P44" s="35"/>
      <c r="Q44" s="21"/>
      <c r="R44" s="21"/>
      <c r="S44" s="21"/>
      <c r="T44" s="21"/>
      <c r="U44" s="21"/>
      <c r="V44" s="21"/>
    </row>
    <row r="45" spans="1:22">
      <c r="B45" s="37" t="s">
        <v>64</v>
      </c>
      <c r="C45" s="201">
        <f>'Indoor impacts per HH'!I59</f>
        <v>0</v>
      </c>
      <c r="D45" s="201">
        <f>'Indoor impacts per HH'!I61</f>
        <v>0</v>
      </c>
      <c r="E45" s="323">
        <f>SUM(C45:D45)</f>
        <v>0</v>
      </c>
      <c r="F45" s="201">
        <f>'Outdoor impacts per HH'!D10</f>
        <v>0</v>
      </c>
      <c r="G45" s="201">
        <f>'Outdoor impacts per HH'!E10</f>
        <v>0</v>
      </c>
      <c r="H45" s="323">
        <f>SUM(F45:G45)</f>
        <v>0</v>
      </c>
      <c r="I45" s="201">
        <f>E45+H45</f>
        <v>0</v>
      </c>
      <c r="J45" s="328" t="str">
        <f>IFERROR(E45/I45,"n/a")</f>
        <v>n/a</v>
      </c>
      <c r="K45" s="239" t="s">
        <v>154</v>
      </c>
      <c r="L45" s="86" t="s">
        <v>155</v>
      </c>
      <c r="M45" s="659"/>
      <c r="N45" s="201">
        <f>C45*$M45/10^6</f>
        <v>0</v>
      </c>
      <c r="O45" s="201">
        <f t="shared" ref="O45:O52" si="54">D45*$M45/10^6</f>
        <v>0</v>
      </c>
      <c r="P45" s="323">
        <f>SUM(N45:O45)</f>
        <v>0</v>
      </c>
      <c r="Q45" s="201">
        <f>F45*$M45/10^6</f>
        <v>0</v>
      </c>
      <c r="R45" s="201">
        <f t="shared" ref="R45:R52" si="55">G45*$M45/10^6</f>
        <v>0</v>
      </c>
      <c r="S45" s="323">
        <f>SUM(Q45:R45)</f>
        <v>0</v>
      </c>
      <c r="T45" s="201">
        <f>P45+S45</f>
        <v>0</v>
      </c>
      <c r="U45" s="328" t="str">
        <f>IFERROR(P45/T45,"n/a")</f>
        <v>n/a</v>
      </c>
      <c r="V45" s="239" t="s">
        <v>154</v>
      </c>
    </row>
    <row r="46" spans="1:22">
      <c r="B46" s="37" t="s">
        <v>65</v>
      </c>
      <c r="C46" s="201">
        <f>'Indoor impacts per HH'!J59</f>
        <v>0</v>
      </c>
      <c r="D46" s="201">
        <f>'Indoor impacts per HH'!J61</f>
        <v>0</v>
      </c>
      <c r="E46" s="323">
        <f t="shared" ref="E46:E51" si="56">SUM(C46:D46)</f>
        <v>0</v>
      </c>
      <c r="F46" s="201">
        <f>'Outdoor impacts per HH'!D11</f>
        <v>0</v>
      </c>
      <c r="G46" s="201">
        <f>'Outdoor impacts per HH'!E11</f>
        <v>0</v>
      </c>
      <c r="H46" s="323">
        <f t="shared" ref="H46:H51" si="57">SUM(F46:G46)</f>
        <v>0</v>
      </c>
      <c r="I46" s="201">
        <f t="shared" ref="I46:I61" si="58">E46+H46</f>
        <v>0</v>
      </c>
      <c r="J46" s="328" t="str">
        <f t="shared" ref="J46:J52" si="59">IFERROR(E46/I46,"n/a")</f>
        <v>n/a</v>
      </c>
      <c r="K46" s="239" t="s">
        <v>154</v>
      </c>
      <c r="L46" s="86" t="s">
        <v>156</v>
      </c>
      <c r="M46" s="660">
        <f>M13</f>
        <v>360099</v>
      </c>
      <c r="N46" s="201">
        <f t="shared" ref="N46:N52" si="60">C46*$M46/10^6</f>
        <v>0</v>
      </c>
      <c r="O46" s="201">
        <f t="shared" si="54"/>
        <v>0</v>
      </c>
      <c r="P46" s="323">
        <f t="shared" ref="P46:P51" si="61">SUM(N46:O46)</f>
        <v>0</v>
      </c>
      <c r="Q46" s="201">
        <f t="shared" ref="Q46:Q52" si="62">F46*$M46/10^6</f>
        <v>0</v>
      </c>
      <c r="R46" s="201">
        <f t="shared" si="55"/>
        <v>0</v>
      </c>
      <c r="S46" s="323">
        <f t="shared" ref="S46:S51" si="63">SUM(Q46:R46)</f>
        <v>0</v>
      </c>
      <c r="T46" s="201">
        <f t="shared" ref="T46:T52" si="64">P46+S46</f>
        <v>0</v>
      </c>
      <c r="U46" s="328" t="str">
        <f t="shared" ref="U46:U52" si="65">IFERROR(P46/T46,"n/a")</f>
        <v>n/a</v>
      </c>
      <c r="V46" s="239" t="s">
        <v>154</v>
      </c>
    </row>
    <row r="47" spans="1:22">
      <c r="B47" s="37" t="s">
        <v>66</v>
      </c>
      <c r="C47" s="201">
        <f>'Indoor impacts per HH'!K59</f>
        <v>51911.093743613797</v>
      </c>
      <c r="D47" s="201">
        <f>'Indoor impacts per HH'!K61</f>
        <v>1490.1634612575203</v>
      </c>
      <c r="E47" s="323">
        <f t="shared" si="56"/>
        <v>53401.257204871319</v>
      </c>
      <c r="F47" s="201">
        <f>'Outdoor impacts per HH'!D12</f>
        <v>26188.227499671339</v>
      </c>
      <c r="G47" s="201">
        <f>'Outdoor impacts per HH'!E12</f>
        <v>562.40023537042725</v>
      </c>
      <c r="H47" s="323">
        <f t="shared" si="57"/>
        <v>26750.627735041766</v>
      </c>
      <c r="I47" s="201">
        <f t="shared" si="58"/>
        <v>80151.884939913085</v>
      </c>
      <c r="J47" s="328">
        <f t="shared" si="59"/>
        <v>0.66625079678293619</v>
      </c>
      <c r="K47" s="328">
        <f>H47/$I47</f>
        <v>0.33374920321706375</v>
      </c>
      <c r="L47" s="203" t="s">
        <v>157</v>
      </c>
      <c r="M47" s="660">
        <f t="shared" ref="M47:M52" si="66">M14</f>
        <v>1973.0777142229585</v>
      </c>
      <c r="N47" s="201">
        <f t="shared" si="60"/>
        <v>102.42462218646324</v>
      </c>
      <c r="O47" s="201">
        <f t="shared" si="54"/>
        <v>2.9402083159565606</v>
      </c>
      <c r="P47" s="323">
        <f t="shared" si="61"/>
        <v>105.36483050241981</v>
      </c>
      <c r="Q47" s="201">
        <f t="shared" si="62"/>
        <v>51.671408054602345</v>
      </c>
      <c r="R47" s="201">
        <f t="shared" si="55"/>
        <v>1.1096593708831366</v>
      </c>
      <c r="S47" s="323">
        <f t="shared" si="63"/>
        <v>52.781067425485482</v>
      </c>
      <c r="T47" s="201">
        <f t="shared" si="64"/>
        <v>158.14589792790528</v>
      </c>
      <c r="U47" s="328">
        <f t="shared" si="65"/>
        <v>0.66625079678293631</v>
      </c>
      <c r="V47" s="328">
        <f>S47/$T47</f>
        <v>0.33374920321706375</v>
      </c>
    </row>
    <row r="48" spans="1:22">
      <c r="B48" s="37" t="s">
        <v>67</v>
      </c>
      <c r="C48" s="201">
        <f>'Indoor impacts per HH'!L59</f>
        <v>7480.2764886046307</v>
      </c>
      <c r="D48" s="201">
        <f>'Indoor impacts per HH'!L61</f>
        <v>198.2843157124816</v>
      </c>
      <c r="E48" s="323">
        <f t="shared" si="56"/>
        <v>7678.5608043171123</v>
      </c>
      <c r="F48" s="201">
        <f>'Outdoor impacts per HH'!D13</f>
        <v>16611.58550004696</v>
      </c>
      <c r="G48" s="201">
        <f>'Outdoor impacts per HH'!E13</f>
        <v>356.7389047318926</v>
      </c>
      <c r="H48" s="323">
        <f t="shared" si="57"/>
        <v>16968.324404778854</v>
      </c>
      <c r="I48" s="201">
        <f t="shared" si="58"/>
        <v>24646.885209095966</v>
      </c>
      <c r="J48" s="328">
        <f t="shared" si="59"/>
        <v>0.31154284767323576</v>
      </c>
      <c r="K48" s="328">
        <f t="shared" ref="K48:K51" si="67">H48/$I48</f>
        <v>0.68845715232676419</v>
      </c>
      <c r="L48" s="76"/>
      <c r="M48" s="660">
        <f t="shared" si="66"/>
        <v>101236.28659302443</v>
      </c>
      <c r="N48" s="201">
        <f t="shared" si="60"/>
        <v>757.27541439544086</v>
      </c>
      <c r="O48" s="201">
        <f t="shared" si="54"/>
        <v>20.073567812370523</v>
      </c>
      <c r="P48" s="323">
        <f t="shared" si="61"/>
        <v>777.34898220781133</v>
      </c>
      <c r="Q48" s="201">
        <f t="shared" si="62"/>
        <v>1681.6952304472829</v>
      </c>
      <c r="R48" s="201">
        <f t="shared" si="55"/>
        <v>36.114921998319524</v>
      </c>
      <c r="S48" s="323">
        <f t="shared" si="63"/>
        <v>1717.8101524456024</v>
      </c>
      <c r="T48" s="201">
        <f t="shared" si="64"/>
        <v>2495.1591346534137</v>
      </c>
      <c r="U48" s="328">
        <f t="shared" si="65"/>
        <v>0.31154284767323581</v>
      </c>
      <c r="V48" s="328">
        <f>S48/$T48</f>
        <v>0.68845715232676419</v>
      </c>
    </row>
    <row r="49" spans="2:22">
      <c r="B49" s="37" t="s">
        <v>68</v>
      </c>
      <c r="C49" s="201">
        <f>'Indoor impacts per HH'!M59</f>
        <v>1775.9036434290026</v>
      </c>
      <c r="D49" s="201">
        <f>'Indoor impacts per HH'!M61</f>
        <v>46.647547645769748</v>
      </c>
      <c r="E49" s="323">
        <f t="shared" si="56"/>
        <v>1822.5511910747723</v>
      </c>
      <c r="F49" s="201">
        <f>'Outdoor impacts per HH'!D14</f>
        <v>12081.153090943244</v>
      </c>
      <c r="G49" s="201">
        <f>'Outdoor impacts per HH'!E14</f>
        <v>259.44647616864921</v>
      </c>
      <c r="H49" s="323">
        <f t="shared" si="57"/>
        <v>12340.599567111893</v>
      </c>
      <c r="I49" s="201">
        <f t="shared" si="58"/>
        <v>14163.150758186664</v>
      </c>
      <c r="J49" s="328">
        <f t="shared" si="59"/>
        <v>0.12868260898947861</v>
      </c>
      <c r="K49" s="328">
        <f t="shared" si="67"/>
        <v>0.87131739101052141</v>
      </c>
      <c r="L49" s="76"/>
      <c r="M49" s="660">
        <f t="shared" si="66"/>
        <v>369512.44606453914</v>
      </c>
      <c r="N49" s="201">
        <f t="shared" si="60"/>
        <v>656.21849925837796</v>
      </c>
      <c r="O49" s="201">
        <f t="shared" si="54"/>
        <v>17.236849433500513</v>
      </c>
      <c r="P49" s="323">
        <f t="shared" si="61"/>
        <v>673.4553486918785</v>
      </c>
      <c r="Q49" s="201">
        <f t="shared" si="62"/>
        <v>4464.1364299146062</v>
      </c>
      <c r="R49" s="201">
        <f t="shared" si="55"/>
        <v>95.868702031902728</v>
      </c>
      <c r="S49" s="323">
        <f t="shared" si="63"/>
        <v>4560.0051319465092</v>
      </c>
      <c r="T49" s="201">
        <f t="shared" si="64"/>
        <v>5233.4604806383877</v>
      </c>
      <c r="U49" s="328">
        <f t="shared" si="65"/>
        <v>0.12868260898947861</v>
      </c>
      <c r="V49" s="328">
        <f>S49/$T49</f>
        <v>0.87131739101052141</v>
      </c>
    </row>
    <row r="50" spans="2:22">
      <c r="B50" s="37" t="s">
        <v>69</v>
      </c>
      <c r="C50" s="201">
        <f>'Indoor impacts per HH'!N59</f>
        <v>1775.9036434290026</v>
      </c>
      <c r="D50" s="201">
        <f>'Indoor impacts per HH'!N61</f>
        <v>46.647547645769748</v>
      </c>
      <c r="E50" s="323">
        <f t="shared" si="56"/>
        <v>1822.5511910747723</v>
      </c>
      <c r="F50" s="201">
        <f>'Outdoor impacts per HH'!D15</f>
        <v>3113.6992502431035</v>
      </c>
      <c r="G50" s="201">
        <f>'Outdoor impacts per HH'!E15</f>
        <v>66.867648497074541</v>
      </c>
      <c r="H50" s="323">
        <f t="shared" si="57"/>
        <v>3180.5668987401782</v>
      </c>
      <c r="I50" s="201">
        <f t="shared" si="58"/>
        <v>5003.1180898149505</v>
      </c>
      <c r="J50" s="328">
        <f t="shared" si="59"/>
        <v>0.36428306475216193</v>
      </c>
      <c r="K50" s="328">
        <f t="shared" si="67"/>
        <v>0.63571693524783812</v>
      </c>
      <c r="L50" s="76"/>
      <c r="M50" s="660">
        <f t="shared" si="66"/>
        <v>35432.700307558553</v>
      </c>
      <c r="N50" s="201">
        <f t="shared" si="60"/>
        <v>62.925061572721177</v>
      </c>
      <c r="O50" s="201">
        <f t="shared" si="54"/>
        <v>1.6528485758151179</v>
      </c>
      <c r="P50" s="323">
        <f t="shared" si="61"/>
        <v>64.57791014853629</v>
      </c>
      <c r="Q50" s="201">
        <f t="shared" si="62"/>
        <v>110.32677238173365</v>
      </c>
      <c r="R50" s="201">
        <f t="shared" si="55"/>
        <v>2.3693013494680106</v>
      </c>
      <c r="S50" s="323">
        <f t="shared" si="63"/>
        <v>112.69607373120166</v>
      </c>
      <c r="T50" s="201">
        <f t="shared" si="64"/>
        <v>177.27398387973795</v>
      </c>
      <c r="U50" s="328">
        <f t="shared" si="65"/>
        <v>0.36428306475216193</v>
      </c>
      <c r="V50" s="328">
        <f>S50/$T50</f>
        <v>0.63571693524783812</v>
      </c>
    </row>
    <row r="51" spans="2:22">
      <c r="B51" s="37" t="s">
        <v>70</v>
      </c>
      <c r="C51" s="201">
        <f>'Indoor impacts per HH'!O59</f>
        <v>594.07460619990104</v>
      </c>
      <c r="D51" s="201">
        <f>'Indoor impacts per HH'!O61</f>
        <v>15.57549443384184</v>
      </c>
      <c r="E51" s="323">
        <f t="shared" si="56"/>
        <v>609.65010063374291</v>
      </c>
      <c r="F51" s="201">
        <f>'Outdoor impacts per HH'!D16</f>
        <v>2577.557232900569</v>
      </c>
      <c r="G51" s="201">
        <f>'Outdoor impacts per HH'!E16</f>
        <v>55.353833873721314</v>
      </c>
      <c r="H51" s="323">
        <f t="shared" si="57"/>
        <v>2632.9110667742902</v>
      </c>
      <c r="I51" s="201">
        <f t="shared" si="58"/>
        <v>3242.5611674080333</v>
      </c>
      <c r="J51" s="328">
        <f t="shared" si="59"/>
        <v>0.18801498851016943</v>
      </c>
      <c r="K51" s="328">
        <f t="shared" si="67"/>
        <v>0.8119850114898306</v>
      </c>
      <c r="L51" s="76"/>
      <c r="M51" s="660">
        <f t="shared" si="66"/>
        <v>15531.831390996367</v>
      </c>
      <c r="N51" s="201">
        <f t="shared" si="60"/>
        <v>9.2270666171694291</v>
      </c>
      <c r="O51" s="201">
        <f t="shared" si="54"/>
        <v>0.24191595337783389</v>
      </c>
      <c r="P51" s="323">
        <f t="shared" si="61"/>
        <v>9.4689825705472632</v>
      </c>
      <c r="Q51" s="201">
        <f t="shared" si="62"/>
        <v>40.034184342054793</v>
      </c>
      <c r="R51" s="201">
        <f t="shared" si="55"/>
        <v>0.85974641457186274</v>
      </c>
      <c r="S51" s="323">
        <f t="shared" si="63"/>
        <v>40.893930756626659</v>
      </c>
      <c r="T51" s="201">
        <f t="shared" si="64"/>
        <v>50.362913327173921</v>
      </c>
      <c r="U51" s="328">
        <f t="shared" si="65"/>
        <v>0.18801498851016943</v>
      </c>
      <c r="V51" s="328">
        <f>S51/$T51</f>
        <v>0.8119850114898306</v>
      </c>
    </row>
    <row r="52" spans="2:22">
      <c r="B52" s="50" t="s">
        <v>71</v>
      </c>
      <c r="C52" s="259">
        <f>'Indoor impacts per HH'!P59</f>
        <v>0</v>
      </c>
      <c r="D52" s="259">
        <f>'Indoor impacts per HH'!P61</f>
        <v>0</v>
      </c>
      <c r="E52" s="324">
        <f>SUM(C52:D52)</f>
        <v>0</v>
      </c>
      <c r="F52" s="259">
        <f>'Outdoor impacts per HH'!D17</f>
        <v>0</v>
      </c>
      <c r="G52" s="259">
        <f>'Outdoor impacts per HH'!E17</f>
        <v>0</v>
      </c>
      <c r="H52" s="324">
        <f>SUM(F52:G52)</f>
        <v>0</v>
      </c>
      <c r="I52" s="259">
        <f t="shared" si="58"/>
        <v>0</v>
      </c>
      <c r="J52" s="329" t="str">
        <f t="shared" si="59"/>
        <v>n/a</v>
      </c>
      <c r="K52" s="240" t="s">
        <v>154</v>
      </c>
      <c r="L52" s="88" t="s">
        <v>156</v>
      </c>
      <c r="M52" s="660">
        <f t="shared" si="66"/>
        <v>44645.397397201348</v>
      </c>
      <c r="N52" s="259">
        <f t="shared" si="60"/>
        <v>0</v>
      </c>
      <c r="O52" s="259">
        <f t="shared" si="54"/>
        <v>0</v>
      </c>
      <c r="P52" s="324">
        <f>SUM(N52:O52)</f>
        <v>0</v>
      </c>
      <c r="Q52" s="259">
        <f t="shared" si="62"/>
        <v>0</v>
      </c>
      <c r="R52" s="259">
        <f t="shared" si="55"/>
        <v>0</v>
      </c>
      <c r="S52" s="324">
        <f>SUM(Q52:R52)</f>
        <v>0</v>
      </c>
      <c r="T52" s="259">
        <f t="shared" si="64"/>
        <v>0</v>
      </c>
      <c r="U52" s="329" t="str">
        <f t="shared" si="65"/>
        <v>n/a</v>
      </c>
      <c r="V52" s="240" t="s">
        <v>154</v>
      </c>
    </row>
    <row r="53" spans="2:22" ht="15">
      <c r="B53" s="26" t="s">
        <v>121</v>
      </c>
      <c r="C53" s="71"/>
      <c r="D53" s="71"/>
      <c r="E53" s="71"/>
      <c r="F53" s="76"/>
      <c r="G53" s="76"/>
      <c r="H53" s="71"/>
      <c r="I53" s="201">
        <f t="shared" si="58"/>
        <v>0</v>
      </c>
      <c r="J53" s="328"/>
      <c r="K53" s="76"/>
      <c r="L53" s="76"/>
      <c r="M53" s="659"/>
      <c r="N53" s="71"/>
      <c r="O53" s="71"/>
      <c r="P53" s="71"/>
      <c r="Q53" s="71"/>
      <c r="R53" s="71"/>
      <c r="S53" s="71"/>
      <c r="T53" s="201"/>
      <c r="U53" s="328"/>
      <c r="V53" s="76"/>
    </row>
    <row r="54" spans="2:22">
      <c r="B54" s="37" t="s">
        <v>64</v>
      </c>
      <c r="C54" s="201">
        <f>'Indoor impacts per HH'!I77</f>
        <v>0</v>
      </c>
      <c r="D54" s="201">
        <f>'Indoor impacts per HH'!I79</f>
        <v>0</v>
      </c>
      <c r="E54" s="323">
        <f>SUM(C54:D54)</f>
        <v>0</v>
      </c>
      <c r="F54" s="201">
        <f>'Outdoor impacts per HH'!D21</f>
        <v>0</v>
      </c>
      <c r="G54" s="201">
        <f>'Outdoor impacts per HH'!E21</f>
        <v>0</v>
      </c>
      <c r="H54" s="323">
        <f>SUM(F54:G54)</f>
        <v>0</v>
      </c>
      <c r="I54" s="201">
        <f t="shared" si="58"/>
        <v>0</v>
      </c>
      <c r="J54" s="328" t="str">
        <f t="shared" ref="J54:J61" si="68">IFERROR(E54/I54,"n/a")</f>
        <v>n/a</v>
      </c>
      <c r="K54" s="239" t="s">
        <v>154</v>
      </c>
      <c r="L54" s="86" t="s">
        <v>155</v>
      </c>
      <c r="M54" s="659"/>
      <c r="N54" s="201">
        <f t="shared" ref="N54:N61" si="69">C54*$M54/10^6</f>
        <v>0</v>
      </c>
      <c r="O54" s="201">
        <f t="shared" ref="O54:O61" si="70">D54*$M54/10^6</f>
        <v>0</v>
      </c>
      <c r="P54" s="323">
        <f>SUM(N54:O54)</f>
        <v>0</v>
      </c>
      <c r="Q54" s="201">
        <f t="shared" ref="Q54:Q61" si="71">F54*$M54/10^6</f>
        <v>0</v>
      </c>
      <c r="R54" s="201">
        <f t="shared" ref="R54:R61" si="72">G54*$M54/10^6</f>
        <v>0</v>
      </c>
      <c r="S54" s="323">
        <f>SUM(Q54:R54)</f>
        <v>0</v>
      </c>
      <c r="T54" s="201">
        <f t="shared" ref="T54:T61" si="73">P54+S54</f>
        <v>0</v>
      </c>
      <c r="U54" s="328" t="str">
        <f t="shared" ref="U54:U61" si="74">IFERROR(P54/T54,"n/a")</f>
        <v>n/a</v>
      </c>
      <c r="V54" s="239" t="s">
        <v>154</v>
      </c>
    </row>
    <row r="55" spans="2:22">
      <c r="B55" s="37" t="s">
        <v>65</v>
      </c>
      <c r="C55" s="201">
        <f>'Indoor impacts per HH'!J77</f>
        <v>9057.8529509853452</v>
      </c>
      <c r="D55" s="201">
        <f>'Indoor impacts per HH'!J79</f>
        <v>129.81403968905843</v>
      </c>
      <c r="E55" s="323">
        <f t="shared" ref="E55:E60" si="75">SUM(C55:D55)</f>
        <v>9187.6669906744028</v>
      </c>
      <c r="F55" s="201">
        <f>'Outdoor impacts per HH'!D22</f>
        <v>0</v>
      </c>
      <c r="G55" s="201">
        <f>'Outdoor impacts per HH'!E22</f>
        <v>0</v>
      </c>
      <c r="H55" s="323">
        <f t="shared" ref="H55:H60" si="76">SUM(F55:G55)</f>
        <v>0</v>
      </c>
      <c r="I55" s="201">
        <f t="shared" si="58"/>
        <v>9187.6669906744028</v>
      </c>
      <c r="J55" s="328">
        <f t="shared" si="68"/>
        <v>1</v>
      </c>
      <c r="K55" s="328">
        <f>H55/$I55</f>
        <v>0</v>
      </c>
      <c r="L55" s="86" t="s">
        <v>158</v>
      </c>
      <c r="M55" s="660">
        <f>M13</f>
        <v>360099</v>
      </c>
      <c r="N55" s="201">
        <f t="shared" si="69"/>
        <v>3261.7237897968716</v>
      </c>
      <c r="O55" s="201">
        <f t="shared" si="70"/>
        <v>46.745905877990253</v>
      </c>
      <c r="P55" s="323">
        <f t="shared" ref="P55:P60" si="77">SUM(N55:O55)</f>
        <v>3308.4696956748621</v>
      </c>
      <c r="Q55" s="201">
        <f t="shared" si="71"/>
        <v>0</v>
      </c>
      <c r="R55" s="201">
        <f t="shared" si="72"/>
        <v>0</v>
      </c>
      <c r="S55" s="323">
        <f t="shared" ref="S55:S60" si="78">SUM(Q55:R55)</f>
        <v>0</v>
      </c>
      <c r="T55" s="201">
        <f t="shared" si="73"/>
        <v>3308.4696956748621</v>
      </c>
      <c r="U55" s="328">
        <f t="shared" si="74"/>
        <v>1</v>
      </c>
      <c r="V55" s="328">
        <f>S55/$T55</f>
        <v>0</v>
      </c>
    </row>
    <row r="56" spans="2:22" ht="15">
      <c r="B56" s="37" t="s">
        <v>66</v>
      </c>
      <c r="C56" s="201">
        <f>'Indoor impacts per HH'!K77</f>
        <v>0</v>
      </c>
      <c r="D56" s="201">
        <f>'Indoor impacts per HH'!K79</f>
        <v>0</v>
      </c>
      <c r="E56" s="323">
        <f t="shared" si="75"/>
        <v>0</v>
      </c>
      <c r="F56" s="201">
        <f>'Outdoor impacts per HH'!D23</f>
        <v>0</v>
      </c>
      <c r="G56" s="201">
        <f>'Outdoor impacts per HH'!E23</f>
        <v>0</v>
      </c>
      <c r="H56" s="323">
        <f t="shared" si="76"/>
        <v>0</v>
      </c>
      <c r="I56" s="201">
        <f t="shared" si="58"/>
        <v>0</v>
      </c>
      <c r="J56" s="328" t="str">
        <f t="shared" si="68"/>
        <v>n/a</v>
      </c>
      <c r="K56" s="239" t="s">
        <v>154</v>
      </c>
      <c r="L56" s="86" t="s">
        <v>159</v>
      </c>
      <c r="M56" s="660">
        <f t="shared" ref="M56:M61" si="79">M14</f>
        <v>1973.0777142229585</v>
      </c>
      <c r="N56" s="201">
        <f t="shared" si="69"/>
        <v>0</v>
      </c>
      <c r="O56" s="201">
        <f t="shared" si="70"/>
        <v>0</v>
      </c>
      <c r="P56" s="323">
        <f t="shared" si="77"/>
        <v>0</v>
      </c>
      <c r="Q56" s="201">
        <f t="shared" si="71"/>
        <v>0</v>
      </c>
      <c r="R56" s="201">
        <f t="shared" si="72"/>
        <v>0</v>
      </c>
      <c r="S56" s="323">
        <f t="shared" si="78"/>
        <v>0</v>
      </c>
      <c r="T56" s="201">
        <f t="shared" si="73"/>
        <v>0</v>
      </c>
      <c r="U56" s="328" t="str">
        <f t="shared" si="74"/>
        <v>n/a</v>
      </c>
      <c r="V56" s="239" t="s">
        <v>154</v>
      </c>
    </row>
    <row r="57" spans="2:22" ht="15">
      <c r="B57" s="37" t="s">
        <v>67</v>
      </c>
      <c r="C57" s="201">
        <f>'Indoor impacts per HH'!L77</f>
        <v>0</v>
      </c>
      <c r="D57" s="201">
        <f>'Indoor impacts per HH'!L79</f>
        <v>0</v>
      </c>
      <c r="E57" s="323">
        <f t="shared" si="75"/>
        <v>0</v>
      </c>
      <c r="F57" s="201">
        <f>'Outdoor impacts per HH'!D24</f>
        <v>0</v>
      </c>
      <c r="G57" s="201">
        <f>'Outdoor impacts per HH'!E24</f>
        <v>0</v>
      </c>
      <c r="H57" s="323">
        <f t="shared" si="76"/>
        <v>0</v>
      </c>
      <c r="I57" s="201">
        <f t="shared" si="58"/>
        <v>0</v>
      </c>
      <c r="J57" s="328" t="str">
        <f t="shared" si="68"/>
        <v>n/a</v>
      </c>
      <c r="K57" s="239" t="s">
        <v>154</v>
      </c>
      <c r="L57" s="86" t="s">
        <v>159</v>
      </c>
      <c r="M57" s="660">
        <f t="shared" si="79"/>
        <v>101236.28659302443</v>
      </c>
      <c r="N57" s="201">
        <f t="shared" si="69"/>
        <v>0</v>
      </c>
      <c r="O57" s="201">
        <f t="shared" si="70"/>
        <v>0</v>
      </c>
      <c r="P57" s="323">
        <f t="shared" si="77"/>
        <v>0</v>
      </c>
      <c r="Q57" s="201">
        <f t="shared" si="71"/>
        <v>0</v>
      </c>
      <c r="R57" s="201">
        <f t="shared" si="72"/>
        <v>0</v>
      </c>
      <c r="S57" s="323">
        <f t="shared" si="78"/>
        <v>0</v>
      </c>
      <c r="T57" s="201">
        <f t="shared" si="73"/>
        <v>0</v>
      </c>
      <c r="U57" s="328" t="str">
        <f t="shared" si="74"/>
        <v>n/a</v>
      </c>
      <c r="V57" s="239" t="s">
        <v>154</v>
      </c>
    </row>
    <row r="58" spans="2:22" ht="15">
      <c r="B58" s="37" t="s">
        <v>68</v>
      </c>
      <c r="C58" s="201">
        <f>'Indoor impacts per HH'!M77</f>
        <v>0</v>
      </c>
      <c r="D58" s="201">
        <f>'Indoor impacts per HH'!M79</f>
        <v>0</v>
      </c>
      <c r="E58" s="323">
        <f t="shared" si="75"/>
        <v>0</v>
      </c>
      <c r="F58" s="201">
        <f>'Outdoor impacts per HH'!D25</f>
        <v>0</v>
      </c>
      <c r="G58" s="201">
        <f>'Outdoor impacts per HH'!E25</f>
        <v>0</v>
      </c>
      <c r="H58" s="323">
        <f t="shared" si="76"/>
        <v>0</v>
      </c>
      <c r="I58" s="201">
        <f t="shared" si="58"/>
        <v>0</v>
      </c>
      <c r="J58" s="328" t="str">
        <f t="shared" si="68"/>
        <v>n/a</v>
      </c>
      <c r="K58" s="239" t="s">
        <v>154</v>
      </c>
      <c r="L58" s="86" t="s">
        <v>159</v>
      </c>
      <c r="M58" s="660">
        <f t="shared" si="79"/>
        <v>369512.44606453914</v>
      </c>
      <c r="N58" s="201">
        <f t="shared" si="69"/>
        <v>0</v>
      </c>
      <c r="O58" s="201">
        <f t="shared" si="70"/>
        <v>0</v>
      </c>
      <c r="P58" s="323">
        <f t="shared" si="77"/>
        <v>0</v>
      </c>
      <c r="Q58" s="201">
        <f t="shared" si="71"/>
        <v>0</v>
      </c>
      <c r="R58" s="201">
        <f t="shared" si="72"/>
        <v>0</v>
      </c>
      <c r="S58" s="323">
        <f t="shared" si="78"/>
        <v>0</v>
      </c>
      <c r="T58" s="201">
        <f t="shared" si="73"/>
        <v>0</v>
      </c>
      <c r="U58" s="328" t="str">
        <f t="shared" si="74"/>
        <v>n/a</v>
      </c>
      <c r="V58" s="239" t="s">
        <v>154</v>
      </c>
    </row>
    <row r="59" spans="2:22" ht="15">
      <c r="B59" s="37" t="s">
        <v>69</v>
      </c>
      <c r="C59" s="201">
        <f>'Indoor impacts per HH'!N77</f>
        <v>0</v>
      </c>
      <c r="D59" s="201">
        <f>'Indoor impacts per HH'!N79</f>
        <v>0</v>
      </c>
      <c r="E59" s="323">
        <f t="shared" si="75"/>
        <v>0</v>
      </c>
      <c r="F59" s="201">
        <f>'Outdoor impacts per HH'!D26</f>
        <v>0</v>
      </c>
      <c r="G59" s="201">
        <f>'Outdoor impacts per HH'!E26</f>
        <v>0</v>
      </c>
      <c r="H59" s="323">
        <f t="shared" si="76"/>
        <v>0</v>
      </c>
      <c r="I59" s="201">
        <f t="shared" si="58"/>
        <v>0</v>
      </c>
      <c r="J59" s="328" t="str">
        <f t="shared" si="68"/>
        <v>n/a</v>
      </c>
      <c r="K59" s="239" t="s">
        <v>154</v>
      </c>
      <c r="L59" s="86" t="s">
        <v>159</v>
      </c>
      <c r="M59" s="660">
        <f t="shared" si="79"/>
        <v>35432.700307558553</v>
      </c>
      <c r="N59" s="201">
        <f t="shared" si="69"/>
        <v>0</v>
      </c>
      <c r="O59" s="201">
        <f t="shared" si="70"/>
        <v>0</v>
      </c>
      <c r="P59" s="323">
        <f t="shared" si="77"/>
        <v>0</v>
      </c>
      <c r="Q59" s="201">
        <f t="shared" si="71"/>
        <v>0</v>
      </c>
      <c r="R59" s="201">
        <f t="shared" si="72"/>
        <v>0</v>
      </c>
      <c r="S59" s="323">
        <f t="shared" si="78"/>
        <v>0</v>
      </c>
      <c r="T59" s="201">
        <f t="shared" si="73"/>
        <v>0</v>
      </c>
      <c r="U59" s="328" t="str">
        <f t="shared" si="74"/>
        <v>n/a</v>
      </c>
      <c r="V59" s="239" t="s">
        <v>154</v>
      </c>
    </row>
    <row r="60" spans="2:22" ht="15">
      <c r="B60" s="37" t="s">
        <v>70</v>
      </c>
      <c r="C60" s="201">
        <f>'Indoor impacts per HH'!O77</f>
        <v>0</v>
      </c>
      <c r="D60" s="201">
        <f>'Indoor impacts per HH'!O79</f>
        <v>0</v>
      </c>
      <c r="E60" s="323">
        <f t="shared" si="75"/>
        <v>0</v>
      </c>
      <c r="F60" s="201">
        <f>'Outdoor impacts per HH'!D27</f>
        <v>0</v>
      </c>
      <c r="G60" s="201">
        <f>'Outdoor impacts per HH'!E27</f>
        <v>0</v>
      </c>
      <c r="H60" s="323">
        <f t="shared" si="76"/>
        <v>0</v>
      </c>
      <c r="I60" s="201">
        <f t="shared" si="58"/>
        <v>0</v>
      </c>
      <c r="J60" s="328" t="str">
        <f t="shared" si="68"/>
        <v>n/a</v>
      </c>
      <c r="K60" s="239" t="s">
        <v>154</v>
      </c>
      <c r="L60" s="86" t="s">
        <v>159</v>
      </c>
      <c r="M60" s="660">
        <f t="shared" si="79"/>
        <v>15531.831390996367</v>
      </c>
      <c r="N60" s="201">
        <f t="shared" si="69"/>
        <v>0</v>
      </c>
      <c r="O60" s="201">
        <f t="shared" si="70"/>
        <v>0</v>
      </c>
      <c r="P60" s="323">
        <f t="shared" si="77"/>
        <v>0</v>
      </c>
      <c r="Q60" s="201">
        <f t="shared" si="71"/>
        <v>0</v>
      </c>
      <c r="R60" s="201">
        <f t="shared" si="72"/>
        <v>0</v>
      </c>
      <c r="S60" s="323">
        <f t="shared" si="78"/>
        <v>0</v>
      </c>
      <c r="T60" s="201">
        <f t="shared" si="73"/>
        <v>0</v>
      </c>
      <c r="U60" s="328" t="str">
        <f t="shared" si="74"/>
        <v>n/a</v>
      </c>
      <c r="V60" s="239" t="s">
        <v>154</v>
      </c>
    </row>
    <row r="61" spans="2:22">
      <c r="B61" s="50" t="s">
        <v>71</v>
      </c>
      <c r="C61" s="259">
        <f>'Indoor impacts per HH'!P77</f>
        <v>20147.830585658019</v>
      </c>
      <c r="D61" s="259">
        <f>'Indoor impacts per HH'!P79</f>
        <v>287.69099967611567</v>
      </c>
      <c r="E61" s="324">
        <f>SUM(C61:D61)</f>
        <v>20435.521585334136</v>
      </c>
      <c r="F61" s="259">
        <f>'Outdoor impacts per HH'!D28</f>
        <v>0</v>
      </c>
      <c r="G61" s="259">
        <f>'Outdoor impacts per HH'!E28</f>
        <v>0</v>
      </c>
      <c r="H61" s="324">
        <f>SUM(F61:G61)</f>
        <v>0</v>
      </c>
      <c r="I61" s="259">
        <f t="shared" si="58"/>
        <v>20435.521585334136</v>
      </c>
      <c r="J61" s="330">
        <f t="shared" si="68"/>
        <v>1</v>
      </c>
      <c r="K61" s="330">
        <f>H61/$I61</f>
        <v>0</v>
      </c>
      <c r="L61" s="202" t="s">
        <v>158</v>
      </c>
      <c r="M61" s="660">
        <f t="shared" si="79"/>
        <v>44645.397397201348</v>
      </c>
      <c r="N61" s="259">
        <f t="shared" si="69"/>
        <v>899.5079031881902</v>
      </c>
      <c r="O61" s="259">
        <f t="shared" si="70"/>
        <v>12.844079008138308</v>
      </c>
      <c r="P61" s="324">
        <f>SUM(N61:O61)</f>
        <v>912.35198219632855</v>
      </c>
      <c r="Q61" s="259">
        <f t="shared" si="71"/>
        <v>0</v>
      </c>
      <c r="R61" s="259">
        <f t="shared" si="72"/>
        <v>0</v>
      </c>
      <c r="S61" s="324">
        <f>SUM(Q61:R61)</f>
        <v>0</v>
      </c>
      <c r="T61" s="259">
        <f t="shared" si="73"/>
        <v>912.35198219632855</v>
      </c>
      <c r="U61" s="330">
        <f t="shared" si="74"/>
        <v>1</v>
      </c>
      <c r="V61" s="330">
        <f>S61/$T61</f>
        <v>0</v>
      </c>
    </row>
    <row r="62" spans="2:22" ht="15">
      <c r="B62" s="347" t="s">
        <v>160</v>
      </c>
      <c r="C62" s="71"/>
      <c r="D62" s="71"/>
      <c r="E62" s="71"/>
      <c r="F62" s="76"/>
      <c r="G62" s="76"/>
      <c r="H62" s="71"/>
      <c r="I62" s="201"/>
      <c r="J62" s="328"/>
      <c r="K62" s="76"/>
      <c r="L62" s="76"/>
      <c r="M62" s="659"/>
      <c r="N62" s="71"/>
      <c r="O62" s="71"/>
      <c r="P62" s="71"/>
      <c r="Q62" s="71"/>
      <c r="R62" s="71"/>
      <c r="S62" s="71"/>
      <c r="T62" s="201"/>
      <c r="U62" s="328"/>
      <c r="V62" s="76"/>
    </row>
    <row r="63" spans="2:22">
      <c r="B63" s="37" t="s">
        <v>64</v>
      </c>
      <c r="C63" s="201">
        <f>C45+C54</f>
        <v>0</v>
      </c>
      <c r="D63" s="201">
        <f>D45+D54</f>
        <v>0</v>
      </c>
      <c r="E63" s="323">
        <f>SUM(C63:D63)</f>
        <v>0</v>
      </c>
      <c r="F63" s="201">
        <f t="shared" ref="F63:G63" si="80">F45+F54</f>
        <v>0</v>
      </c>
      <c r="G63" s="201">
        <f t="shared" si="80"/>
        <v>0</v>
      </c>
      <c r="H63" s="323">
        <f>SUM(F63:G63)</f>
        <v>0</v>
      </c>
      <c r="I63" s="201">
        <f t="shared" ref="I63:I70" si="81">E63+H63</f>
        <v>0</v>
      </c>
      <c r="J63" s="328" t="str">
        <f t="shared" ref="J63:J70" si="82">IFERROR(E63/I63,"n/a")</f>
        <v>n/a</v>
      </c>
      <c r="K63" s="239" t="s">
        <v>154</v>
      </c>
      <c r="L63" s="86" t="s">
        <v>155</v>
      </c>
      <c r="M63" s="659"/>
      <c r="N63" s="201">
        <f>N45+N54</f>
        <v>0</v>
      </c>
      <c r="O63" s="201">
        <f>O45+O54</f>
        <v>0</v>
      </c>
      <c r="P63" s="323">
        <f>SUM(N63:O63)</f>
        <v>0</v>
      </c>
      <c r="Q63" s="201">
        <f>Q45+Q54</f>
        <v>0</v>
      </c>
      <c r="R63" s="201">
        <f>R45+R54</f>
        <v>0</v>
      </c>
      <c r="S63" s="323">
        <f>SUM(Q63:R63)</f>
        <v>0</v>
      </c>
      <c r="T63" s="201">
        <f t="shared" ref="T63:T70" si="83">P63+S63</f>
        <v>0</v>
      </c>
      <c r="U63" s="328" t="str">
        <f t="shared" ref="U63:U70" si="84">IFERROR(P63/T63,"n/a")</f>
        <v>n/a</v>
      </c>
      <c r="V63" s="239" t="s">
        <v>154</v>
      </c>
    </row>
    <row r="64" spans="2:22">
      <c r="B64" s="37" t="s">
        <v>65</v>
      </c>
      <c r="C64" s="201">
        <f t="shared" ref="C64:D64" si="85">C46+C55</f>
        <v>9057.8529509853452</v>
      </c>
      <c r="D64" s="201">
        <f t="shared" si="85"/>
        <v>129.81403968905843</v>
      </c>
      <c r="E64" s="323">
        <f t="shared" ref="E64:E69" si="86">SUM(C64:D64)</f>
        <v>9187.6669906744028</v>
      </c>
      <c r="F64" s="201">
        <f t="shared" ref="F64:G64" si="87">F46+F55</f>
        <v>0</v>
      </c>
      <c r="G64" s="201">
        <f t="shared" si="87"/>
        <v>0</v>
      </c>
      <c r="H64" s="323">
        <f t="shared" ref="H64:H69" si="88">SUM(F64:G64)</f>
        <v>0</v>
      </c>
      <c r="I64" s="201">
        <f t="shared" si="81"/>
        <v>9187.6669906744028</v>
      </c>
      <c r="J64" s="328">
        <f t="shared" si="82"/>
        <v>1</v>
      </c>
      <c r="K64" s="328">
        <f>H64/$I64</f>
        <v>0</v>
      </c>
      <c r="L64" s="86" t="s">
        <v>158</v>
      </c>
      <c r="M64" s="659"/>
      <c r="N64" s="201">
        <f t="shared" ref="N64:O64" si="89">N46+N55</f>
        <v>3261.7237897968716</v>
      </c>
      <c r="O64" s="201">
        <f t="shared" si="89"/>
        <v>46.745905877990253</v>
      </c>
      <c r="P64" s="323">
        <f t="shared" ref="P64:P69" si="90">SUM(N64:O64)</f>
        <v>3308.4696956748621</v>
      </c>
      <c r="Q64" s="201">
        <f t="shared" ref="Q64:R64" si="91">Q46+Q55</f>
        <v>0</v>
      </c>
      <c r="R64" s="201">
        <f t="shared" si="91"/>
        <v>0</v>
      </c>
      <c r="S64" s="323">
        <f t="shared" ref="S64:S69" si="92">SUM(Q64:R64)</f>
        <v>0</v>
      </c>
      <c r="T64" s="201">
        <f t="shared" si="83"/>
        <v>3308.4696956748621</v>
      </c>
      <c r="U64" s="328">
        <f t="shared" si="84"/>
        <v>1</v>
      </c>
      <c r="V64" s="328">
        <f t="shared" ref="V64:V70" si="93">S64/$T64</f>
        <v>0</v>
      </c>
    </row>
    <row r="65" spans="2:22" ht="15">
      <c r="B65" s="37" t="s">
        <v>66</v>
      </c>
      <c r="C65" s="201">
        <f t="shared" ref="C65:D65" si="94">C47+C56</f>
        <v>51911.093743613797</v>
      </c>
      <c r="D65" s="201">
        <f t="shared" si="94"/>
        <v>1490.1634612575203</v>
      </c>
      <c r="E65" s="323">
        <f t="shared" si="86"/>
        <v>53401.257204871319</v>
      </c>
      <c r="F65" s="201">
        <f t="shared" ref="F65:G65" si="95">F47+F56</f>
        <v>26188.227499671339</v>
      </c>
      <c r="G65" s="201">
        <f t="shared" si="95"/>
        <v>562.40023537042725</v>
      </c>
      <c r="H65" s="323">
        <f t="shared" si="88"/>
        <v>26750.627735041766</v>
      </c>
      <c r="I65" s="201">
        <f t="shared" si="81"/>
        <v>80151.884939913085</v>
      </c>
      <c r="J65" s="328">
        <f t="shared" si="82"/>
        <v>0.66625079678293619</v>
      </c>
      <c r="K65" s="328">
        <f t="shared" ref="K65:K69" si="96">H65/$I65</f>
        <v>0.33374920321706375</v>
      </c>
      <c r="L65" s="86" t="s">
        <v>159</v>
      </c>
      <c r="M65" s="659"/>
      <c r="N65" s="201">
        <f t="shared" ref="N65:O65" si="97">N47+N56</f>
        <v>102.42462218646324</v>
      </c>
      <c r="O65" s="201">
        <f t="shared" si="97"/>
        <v>2.9402083159565606</v>
      </c>
      <c r="P65" s="323">
        <f t="shared" si="90"/>
        <v>105.36483050241981</v>
      </c>
      <c r="Q65" s="201">
        <f t="shared" ref="Q65:R65" si="98">Q47+Q56</f>
        <v>51.671408054602345</v>
      </c>
      <c r="R65" s="201">
        <f t="shared" si="98"/>
        <v>1.1096593708831366</v>
      </c>
      <c r="S65" s="323">
        <f t="shared" si="92"/>
        <v>52.781067425485482</v>
      </c>
      <c r="T65" s="201">
        <f t="shared" si="83"/>
        <v>158.14589792790528</v>
      </c>
      <c r="U65" s="328">
        <f t="shared" si="84"/>
        <v>0.66625079678293631</v>
      </c>
      <c r="V65" s="328">
        <f t="shared" si="93"/>
        <v>0.33374920321706375</v>
      </c>
    </row>
    <row r="66" spans="2:22" ht="15">
      <c r="B66" s="37" t="s">
        <v>67</v>
      </c>
      <c r="C66" s="201">
        <f t="shared" ref="C66:D66" si="99">C48+C57</f>
        <v>7480.2764886046307</v>
      </c>
      <c r="D66" s="201">
        <f t="shared" si="99"/>
        <v>198.2843157124816</v>
      </c>
      <c r="E66" s="323">
        <f t="shared" si="86"/>
        <v>7678.5608043171123</v>
      </c>
      <c r="F66" s="201">
        <f t="shared" ref="F66:G66" si="100">F48+F57</f>
        <v>16611.58550004696</v>
      </c>
      <c r="G66" s="201">
        <f t="shared" si="100"/>
        <v>356.7389047318926</v>
      </c>
      <c r="H66" s="323">
        <f t="shared" si="88"/>
        <v>16968.324404778854</v>
      </c>
      <c r="I66" s="201">
        <f t="shared" si="81"/>
        <v>24646.885209095966</v>
      </c>
      <c r="J66" s="328">
        <f t="shared" si="82"/>
        <v>0.31154284767323576</v>
      </c>
      <c r="K66" s="328">
        <f t="shared" si="96"/>
        <v>0.68845715232676419</v>
      </c>
      <c r="L66" s="86" t="s">
        <v>159</v>
      </c>
      <c r="M66" s="659"/>
      <c r="N66" s="201">
        <f t="shared" ref="N66:O66" si="101">N48+N57</f>
        <v>757.27541439544086</v>
      </c>
      <c r="O66" s="201">
        <f t="shared" si="101"/>
        <v>20.073567812370523</v>
      </c>
      <c r="P66" s="323">
        <f t="shared" si="90"/>
        <v>777.34898220781133</v>
      </c>
      <c r="Q66" s="201">
        <f t="shared" ref="Q66:R66" si="102">Q48+Q57</f>
        <v>1681.6952304472829</v>
      </c>
      <c r="R66" s="201">
        <f t="shared" si="102"/>
        <v>36.114921998319524</v>
      </c>
      <c r="S66" s="323">
        <f t="shared" si="92"/>
        <v>1717.8101524456024</v>
      </c>
      <c r="T66" s="201">
        <f t="shared" si="83"/>
        <v>2495.1591346534137</v>
      </c>
      <c r="U66" s="328">
        <f t="shared" si="84"/>
        <v>0.31154284767323581</v>
      </c>
      <c r="V66" s="328">
        <f t="shared" si="93"/>
        <v>0.68845715232676419</v>
      </c>
    </row>
    <row r="67" spans="2:22" ht="15">
      <c r="B67" s="37" t="s">
        <v>68</v>
      </c>
      <c r="C67" s="201">
        <f t="shared" ref="C67:D67" si="103">C49+C58</f>
        <v>1775.9036434290026</v>
      </c>
      <c r="D67" s="201">
        <f t="shared" si="103"/>
        <v>46.647547645769748</v>
      </c>
      <c r="E67" s="323">
        <f t="shared" si="86"/>
        <v>1822.5511910747723</v>
      </c>
      <c r="F67" s="201">
        <f t="shared" ref="F67:G67" si="104">F49+F58</f>
        <v>12081.153090943244</v>
      </c>
      <c r="G67" s="201">
        <f t="shared" si="104"/>
        <v>259.44647616864921</v>
      </c>
      <c r="H67" s="323">
        <f t="shared" si="88"/>
        <v>12340.599567111893</v>
      </c>
      <c r="I67" s="201">
        <f t="shared" si="81"/>
        <v>14163.150758186664</v>
      </c>
      <c r="J67" s="328">
        <f t="shared" si="82"/>
        <v>0.12868260898947861</v>
      </c>
      <c r="K67" s="328">
        <f t="shared" si="96"/>
        <v>0.87131739101052141</v>
      </c>
      <c r="L67" s="86" t="s">
        <v>159</v>
      </c>
      <c r="M67" s="659"/>
      <c r="N67" s="201">
        <f t="shared" ref="N67:O67" si="105">N49+N58</f>
        <v>656.21849925837796</v>
      </c>
      <c r="O67" s="201">
        <f t="shared" si="105"/>
        <v>17.236849433500513</v>
      </c>
      <c r="P67" s="323">
        <f t="shared" si="90"/>
        <v>673.4553486918785</v>
      </c>
      <c r="Q67" s="201">
        <f t="shared" ref="Q67:R67" si="106">Q49+Q58</f>
        <v>4464.1364299146062</v>
      </c>
      <c r="R67" s="201">
        <f t="shared" si="106"/>
        <v>95.868702031902728</v>
      </c>
      <c r="S67" s="323">
        <f t="shared" si="92"/>
        <v>4560.0051319465092</v>
      </c>
      <c r="T67" s="201">
        <f t="shared" si="83"/>
        <v>5233.4604806383877</v>
      </c>
      <c r="U67" s="328">
        <f t="shared" si="84"/>
        <v>0.12868260898947861</v>
      </c>
      <c r="V67" s="328">
        <f t="shared" si="93"/>
        <v>0.87131739101052141</v>
      </c>
    </row>
    <row r="68" spans="2:22" ht="15">
      <c r="B68" s="37" t="s">
        <v>69</v>
      </c>
      <c r="C68" s="201">
        <f t="shared" ref="C68:D68" si="107">C50+C59</f>
        <v>1775.9036434290026</v>
      </c>
      <c r="D68" s="201">
        <f t="shared" si="107"/>
        <v>46.647547645769748</v>
      </c>
      <c r="E68" s="323">
        <f t="shared" si="86"/>
        <v>1822.5511910747723</v>
      </c>
      <c r="F68" s="201">
        <f t="shared" ref="F68:G68" si="108">F50+F59</f>
        <v>3113.6992502431035</v>
      </c>
      <c r="G68" s="201">
        <f t="shared" si="108"/>
        <v>66.867648497074541</v>
      </c>
      <c r="H68" s="323">
        <f t="shared" si="88"/>
        <v>3180.5668987401782</v>
      </c>
      <c r="I68" s="201">
        <f t="shared" si="81"/>
        <v>5003.1180898149505</v>
      </c>
      <c r="J68" s="328">
        <f t="shared" si="82"/>
        <v>0.36428306475216193</v>
      </c>
      <c r="K68" s="328">
        <f t="shared" si="96"/>
        <v>0.63571693524783812</v>
      </c>
      <c r="L68" s="86" t="s">
        <v>159</v>
      </c>
      <c r="M68" s="659"/>
      <c r="N68" s="201">
        <f t="shared" ref="N68:O68" si="109">N50+N59</f>
        <v>62.925061572721177</v>
      </c>
      <c r="O68" s="201">
        <f t="shared" si="109"/>
        <v>1.6528485758151179</v>
      </c>
      <c r="P68" s="323">
        <f t="shared" si="90"/>
        <v>64.57791014853629</v>
      </c>
      <c r="Q68" s="201">
        <f t="shared" ref="Q68:R68" si="110">Q50+Q59</f>
        <v>110.32677238173365</v>
      </c>
      <c r="R68" s="201">
        <f t="shared" si="110"/>
        <v>2.3693013494680106</v>
      </c>
      <c r="S68" s="323">
        <f t="shared" si="92"/>
        <v>112.69607373120166</v>
      </c>
      <c r="T68" s="201">
        <f t="shared" si="83"/>
        <v>177.27398387973795</v>
      </c>
      <c r="U68" s="328">
        <f t="shared" si="84"/>
        <v>0.36428306475216193</v>
      </c>
      <c r="V68" s="328">
        <f t="shared" si="93"/>
        <v>0.63571693524783812</v>
      </c>
    </row>
    <row r="69" spans="2:22" ht="15">
      <c r="B69" s="37" t="s">
        <v>70</v>
      </c>
      <c r="C69" s="201">
        <f t="shared" ref="C69:D69" si="111">C51+C60</f>
        <v>594.07460619990104</v>
      </c>
      <c r="D69" s="201">
        <f t="shared" si="111"/>
        <v>15.57549443384184</v>
      </c>
      <c r="E69" s="323">
        <f t="shared" si="86"/>
        <v>609.65010063374291</v>
      </c>
      <c r="F69" s="201">
        <f t="shared" ref="F69:G69" si="112">F51+F60</f>
        <v>2577.557232900569</v>
      </c>
      <c r="G69" s="201">
        <f t="shared" si="112"/>
        <v>55.353833873721314</v>
      </c>
      <c r="H69" s="323">
        <f t="shared" si="88"/>
        <v>2632.9110667742902</v>
      </c>
      <c r="I69" s="201">
        <f t="shared" si="81"/>
        <v>3242.5611674080333</v>
      </c>
      <c r="J69" s="328">
        <f t="shared" si="82"/>
        <v>0.18801498851016943</v>
      </c>
      <c r="K69" s="328">
        <f t="shared" si="96"/>
        <v>0.8119850114898306</v>
      </c>
      <c r="L69" s="86" t="s">
        <v>159</v>
      </c>
      <c r="M69" s="659"/>
      <c r="N69" s="201">
        <f t="shared" ref="N69:O69" si="113">N51+N60</f>
        <v>9.2270666171694291</v>
      </c>
      <c r="O69" s="201">
        <f t="shared" si="113"/>
        <v>0.24191595337783389</v>
      </c>
      <c r="P69" s="323">
        <f t="shared" si="90"/>
        <v>9.4689825705472632</v>
      </c>
      <c r="Q69" s="201">
        <f t="shared" ref="Q69:R69" si="114">Q51+Q60</f>
        <v>40.034184342054793</v>
      </c>
      <c r="R69" s="201">
        <f t="shared" si="114"/>
        <v>0.85974641457186274</v>
      </c>
      <c r="S69" s="323">
        <f t="shared" si="92"/>
        <v>40.893930756626659</v>
      </c>
      <c r="T69" s="201">
        <f t="shared" si="83"/>
        <v>50.362913327173921</v>
      </c>
      <c r="U69" s="328">
        <f t="shared" si="84"/>
        <v>0.18801498851016943</v>
      </c>
      <c r="V69" s="328">
        <f t="shared" si="93"/>
        <v>0.8119850114898306</v>
      </c>
    </row>
    <row r="70" spans="2:22">
      <c r="B70" s="50" t="s">
        <v>71</v>
      </c>
      <c r="C70" s="259">
        <f t="shared" ref="C70:D70" si="115">C52+C61</f>
        <v>20147.830585658019</v>
      </c>
      <c r="D70" s="259">
        <f t="shared" si="115"/>
        <v>287.69099967611567</v>
      </c>
      <c r="E70" s="324">
        <f>SUM(C70:D70)</f>
        <v>20435.521585334136</v>
      </c>
      <c r="F70" s="259">
        <f t="shared" ref="F70:G70" si="116">F52+F61</f>
        <v>0</v>
      </c>
      <c r="G70" s="259">
        <f t="shared" si="116"/>
        <v>0</v>
      </c>
      <c r="H70" s="324">
        <f>SUM(F70:G70)</f>
        <v>0</v>
      </c>
      <c r="I70" s="259">
        <f t="shared" si="81"/>
        <v>20435.521585334136</v>
      </c>
      <c r="J70" s="330">
        <f t="shared" si="82"/>
        <v>1</v>
      </c>
      <c r="K70" s="330">
        <f>H70/$I70</f>
        <v>0</v>
      </c>
      <c r="L70" s="202" t="s">
        <v>158</v>
      </c>
      <c r="M70" s="659"/>
      <c r="N70" s="259">
        <f t="shared" ref="N70:O70" si="117">N52+N61</f>
        <v>899.5079031881902</v>
      </c>
      <c r="O70" s="259">
        <f t="shared" si="117"/>
        <v>12.844079008138308</v>
      </c>
      <c r="P70" s="324">
        <f>SUM(N70:O70)</f>
        <v>912.35198219632855</v>
      </c>
      <c r="Q70" s="259">
        <f t="shared" ref="Q70:R70" si="118">Q52+Q61</f>
        <v>0</v>
      </c>
      <c r="R70" s="259">
        <f t="shared" si="118"/>
        <v>0</v>
      </c>
      <c r="S70" s="324">
        <f>SUM(Q70:R70)</f>
        <v>0</v>
      </c>
      <c r="T70" s="259">
        <f t="shared" si="83"/>
        <v>912.35198219632855</v>
      </c>
      <c r="U70" s="330">
        <f t="shared" si="84"/>
        <v>1</v>
      </c>
      <c r="V70" s="330">
        <f t="shared" si="93"/>
        <v>0</v>
      </c>
    </row>
  </sheetData>
  <mergeCells count="6">
    <mergeCell ref="C9:K9"/>
    <mergeCell ref="C42:K42"/>
    <mergeCell ref="N9:V9"/>
    <mergeCell ref="N42:V42"/>
    <mergeCell ref="M9:M10"/>
    <mergeCell ref="M42:M43"/>
  </mergeCells>
  <dataValidations count="1">
    <dataValidation type="decimal" operator="equal" allowBlank="1" showInputMessage="1" showErrorMessage="1" errorTitle="Value cannot be changed" sqref="C11:E11 C44:E44 H53 C20:E20 H20 C53:E53 C29:E29 H29 C62:E62 H62 P20 S20 P53 S53" xr:uid="{A62123F0-D6CC-48C6-A512-E6E2FBB5CA3C}">
      <formula1>1</formula1>
    </dataValidation>
  </dataValidations>
  <hyperlinks>
    <hyperlink ref="A4" location="Contents!A1" display="Back to Contents" xr:uid="{788C0797-5603-4E5D-BE39-DBA7B959A07E}"/>
  </hyperlinks>
  <pageMargins left="0.23622047244094488" right="0.23622047244094488" top="0.15748031496062992" bottom="0.15748031496062992" header="0.31496062992125984" footer="0.31496062992125984"/>
  <pageSetup paperSize="9" scale="59"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5913-99D2-40FB-AE16-9857550B7B89}">
  <sheetPr>
    <tabColor rgb="FF92D050"/>
    <pageSetUpPr fitToPage="1"/>
  </sheetPr>
  <dimension ref="A1:T106"/>
  <sheetViews>
    <sheetView topLeftCell="A33" workbookViewId="0">
      <selection activeCell="D56" sqref="D56"/>
    </sheetView>
  </sheetViews>
  <sheetFormatPr defaultRowHeight="14.45"/>
  <cols>
    <col min="2" max="2" width="31" customWidth="1"/>
    <col min="3" max="5" width="20.28515625" customWidth="1"/>
    <col min="8" max="8" width="20.28515625" bestFit="1" customWidth="1"/>
    <col min="9" max="9" width="36.42578125" bestFit="1" customWidth="1"/>
    <col min="10" max="10" width="15.42578125" customWidth="1"/>
    <col min="11" max="11" width="27.28515625" customWidth="1"/>
    <col min="12" max="14" width="20.140625" customWidth="1"/>
  </cols>
  <sheetData>
    <row r="1" spans="1:20" ht="18.600000000000001">
      <c r="A1" s="440" t="s">
        <v>16</v>
      </c>
      <c r="B1" s="440"/>
      <c r="C1" s="440"/>
      <c r="D1" s="440"/>
      <c r="E1" s="440"/>
      <c r="F1" s="440"/>
      <c r="G1" s="440"/>
      <c r="H1" s="440"/>
      <c r="I1" s="2"/>
      <c r="J1" s="2"/>
    </row>
    <row r="2" spans="1:20">
      <c r="A2" s="2" t="s">
        <v>162</v>
      </c>
      <c r="B2" s="2"/>
      <c r="C2" s="2"/>
      <c r="D2" s="2"/>
      <c r="E2" s="2"/>
      <c r="F2" s="2"/>
      <c r="G2" s="2"/>
      <c r="H2" s="2"/>
    </row>
    <row r="3" spans="1:20">
      <c r="A3" s="442" t="s">
        <v>163</v>
      </c>
      <c r="B3" s="346"/>
      <c r="C3" s="346"/>
      <c r="D3" s="346"/>
      <c r="E3" s="346"/>
      <c r="F3" s="346"/>
      <c r="G3" s="346"/>
      <c r="H3" s="346"/>
    </row>
    <row r="4" spans="1:20">
      <c r="A4" s="380" t="s">
        <v>59</v>
      </c>
      <c r="B4" s="38"/>
      <c r="C4" s="38"/>
      <c r="D4" s="38"/>
      <c r="E4" s="38"/>
      <c r="F4" s="38"/>
      <c r="G4" s="38"/>
      <c r="H4" s="38"/>
    </row>
    <row r="5" spans="1:20">
      <c r="A5" s="192"/>
      <c r="B5" s="192"/>
      <c r="C5" s="192"/>
      <c r="D5" s="192"/>
      <c r="E5" s="192"/>
      <c r="F5" s="192"/>
      <c r="G5" s="192"/>
      <c r="H5" s="192"/>
      <c r="I5" s="2"/>
      <c r="J5" s="2"/>
      <c r="K5" s="2"/>
      <c r="L5" s="2"/>
      <c r="M5" s="2"/>
      <c r="N5" s="2"/>
      <c r="O5" s="2"/>
      <c r="P5" s="2"/>
      <c r="Q5" s="2"/>
      <c r="R5" s="2"/>
      <c r="S5" s="2"/>
      <c r="T5" s="2"/>
    </row>
    <row r="6" spans="1:20">
      <c r="A6" s="2"/>
      <c r="B6" s="2"/>
      <c r="C6" s="2"/>
      <c r="D6" s="2"/>
      <c r="E6" s="2"/>
      <c r="F6" s="2"/>
      <c r="G6" s="2"/>
      <c r="H6" s="2"/>
      <c r="K6" s="2"/>
      <c r="L6" s="2"/>
      <c r="M6" s="2"/>
      <c r="N6" s="2"/>
      <c r="O6" s="2"/>
      <c r="P6" s="2"/>
      <c r="Q6" s="2"/>
      <c r="R6" s="2"/>
      <c r="S6" s="2"/>
      <c r="T6" s="2"/>
    </row>
    <row r="7" spans="1:20" ht="15" thickBot="1">
      <c r="A7" s="3"/>
      <c r="B7" s="348" t="s">
        <v>164</v>
      </c>
      <c r="C7" s="348"/>
      <c r="D7" s="348"/>
      <c r="E7" s="348"/>
      <c r="F7" s="3"/>
      <c r="G7" s="3"/>
      <c r="H7" s="3"/>
      <c r="M7" s="174"/>
      <c r="N7" s="2"/>
      <c r="O7" s="2"/>
      <c r="P7" s="2"/>
      <c r="Q7" s="2"/>
      <c r="R7" s="2"/>
      <c r="S7" s="2"/>
      <c r="T7" s="2"/>
    </row>
    <row r="8" spans="1:20" ht="15">
      <c r="A8" s="2"/>
      <c r="B8" s="724" t="s">
        <v>131</v>
      </c>
      <c r="C8" s="726" t="s">
        <v>165</v>
      </c>
      <c r="D8" s="726"/>
      <c r="E8" s="726"/>
      <c r="F8" s="2"/>
      <c r="G8" s="2"/>
      <c r="H8" s="2"/>
      <c r="M8" s="174"/>
      <c r="N8" s="177"/>
      <c r="O8" s="2"/>
      <c r="P8" s="2"/>
      <c r="Q8" s="2"/>
      <c r="R8" s="2"/>
      <c r="S8" s="2"/>
      <c r="T8" s="2"/>
    </row>
    <row r="9" spans="1:20" ht="15" thickBot="1">
      <c r="A9" s="2"/>
      <c r="B9" s="725"/>
      <c r="C9" s="332" t="s">
        <v>166</v>
      </c>
      <c r="D9" s="332" t="s">
        <v>167</v>
      </c>
      <c r="E9" s="333" t="s">
        <v>168</v>
      </c>
      <c r="F9" s="2"/>
      <c r="G9" s="2"/>
      <c r="H9" s="2"/>
      <c r="M9" s="178"/>
      <c r="N9" s="178"/>
      <c r="O9" s="2"/>
      <c r="P9" s="2"/>
      <c r="Q9" s="2"/>
      <c r="R9" s="2"/>
      <c r="S9" s="2"/>
      <c r="T9" s="2"/>
    </row>
    <row r="10" spans="1:20">
      <c r="A10" s="2"/>
      <c r="B10" s="48" t="s">
        <v>64</v>
      </c>
      <c r="C10" s="334">
        <f>Results!C12+Results!C21</f>
        <v>0</v>
      </c>
      <c r="D10" s="334">
        <f>Results!D12+Results!D21</f>
        <v>0</v>
      </c>
      <c r="E10" s="335">
        <f>Results!E12+Results!E21</f>
        <v>0</v>
      </c>
      <c r="F10" s="238"/>
      <c r="G10" s="238"/>
      <c r="H10" s="238"/>
      <c r="M10" s="353"/>
      <c r="N10" s="354"/>
      <c r="O10" s="2"/>
      <c r="P10" s="2"/>
      <c r="Q10" s="2"/>
      <c r="R10" s="2"/>
      <c r="S10" s="2"/>
      <c r="T10" s="2"/>
    </row>
    <row r="11" spans="1:20">
      <c r="A11" s="2"/>
      <c r="B11" s="48" t="s">
        <v>65</v>
      </c>
      <c r="C11" s="334">
        <f>Results!C13+Results!C22</f>
        <v>9057.8529509853452</v>
      </c>
      <c r="D11" s="334">
        <f>Results!D13+Results!D22</f>
        <v>129.81403968905843</v>
      </c>
      <c r="E11" s="335">
        <f>Results!E13+Results!E22</f>
        <v>9187.6669906744028</v>
      </c>
      <c r="F11" s="238"/>
      <c r="G11" s="238"/>
      <c r="H11" s="238"/>
      <c r="M11" s="353"/>
      <c r="N11" s="354"/>
      <c r="O11" s="2"/>
      <c r="P11" s="2"/>
      <c r="Q11" s="2"/>
      <c r="R11" s="2"/>
      <c r="S11" s="2"/>
      <c r="T11" s="2"/>
    </row>
    <row r="12" spans="1:20">
      <c r="A12" s="2"/>
      <c r="B12" s="48" t="s">
        <v>66</v>
      </c>
      <c r="C12" s="334">
        <f>Results!C14+Results!C23</f>
        <v>51911.093743613797</v>
      </c>
      <c r="D12" s="334">
        <f>Results!D14+Results!D23</f>
        <v>1490.1634612575203</v>
      </c>
      <c r="E12" s="335">
        <f>Results!E14+Results!E23</f>
        <v>53401.257204871319</v>
      </c>
      <c r="F12" s="238"/>
      <c r="G12" s="238"/>
      <c r="H12" s="238"/>
      <c r="M12" s="353"/>
      <c r="N12" s="354"/>
      <c r="O12" s="2"/>
      <c r="P12" s="2"/>
      <c r="Q12" s="2"/>
      <c r="R12" s="2"/>
      <c r="S12" s="2"/>
      <c r="T12" s="2"/>
    </row>
    <row r="13" spans="1:20">
      <c r="A13" s="2"/>
      <c r="B13" s="48" t="s">
        <v>169</v>
      </c>
      <c r="C13" s="334">
        <f>Results!C15+Results!C24</f>
        <v>7480.2764886046307</v>
      </c>
      <c r="D13" s="334">
        <f>Results!D15+Results!D24</f>
        <v>198.2843157124816</v>
      </c>
      <c r="E13" s="335">
        <f>Results!E15+Results!E24</f>
        <v>7678.5608043171123</v>
      </c>
      <c r="F13" s="238"/>
      <c r="G13" s="238"/>
      <c r="H13" s="238"/>
      <c r="M13" s="353"/>
      <c r="N13" s="354"/>
      <c r="O13" s="2"/>
      <c r="P13" s="2"/>
      <c r="Q13" s="2"/>
      <c r="R13" s="2"/>
      <c r="S13" s="2"/>
      <c r="T13" s="2"/>
    </row>
    <row r="14" spans="1:20">
      <c r="A14" s="2"/>
      <c r="B14" s="48" t="s">
        <v>68</v>
      </c>
      <c r="C14" s="334">
        <f>Results!C16+Results!C25</f>
        <v>1775.9036434290026</v>
      </c>
      <c r="D14" s="334">
        <f>Results!D16+Results!D25</f>
        <v>46.647547645769748</v>
      </c>
      <c r="E14" s="335">
        <f>Results!E16+Results!E25</f>
        <v>1822.5511910747723</v>
      </c>
      <c r="F14" s="238"/>
      <c r="G14" s="238"/>
      <c r="H14" s="238"/>
      <c r="M14" s="353"/>
      <c r="N14" s="354"/>
      <c r="O14" s="2"/>
      <c r="P14" s="2"/>
      <c r="Q14" s="2"/>
      <c r="R14" s="2"/>
      <c r="S14" s="2"/>
      <c r="T14" s="2"/>
    </row>
    <row r="15" spans="1:20">
      <c r="A15" s="2"/>
      <c r="B15" s="48" t="s">
        <v>170</v>
      </c>
      <c r="C15" s="334">
        <f>Results!C17+Results!C26</f>
        <v>1775.9036434290026</v>
      </c>
      <c r="D15" s="334">
        <f>Results!D17+Results!D26</f>
        <v>46.647547645769748</v>
      </c>
      <c r="E15" s="335">
        <f>Results!E17+Results!E26</f>
        <v>1822.5511910747723</v>
      </c>
      <c r="F15" s="238"/>
      <c r="G15" s="238"/>
      <c r="H15" s="238"/>
      <c r="M15" s="353"/>
      <c r="N15" s="354"/>
      <c r="O15" s="2"/>
      <c r="P15" s="2"/>
      <c r="Q15" s="2"/>
      <c r="R15" s="2"/>
      <c r="S15" s="2"/>
      <c r="T15" s="2"/>
    </row>
    <row r="16" spans="1:20">
      <c r="A16" s="2"/>
      <c r="B16" s="48" t="s">
        <v>70</v>
      </c>
      <c r="C16" s="334">
        <f>Results!C18+Results!C27</f>
        <v>594.07460619990104</v>
      </c>
      <c r="D16" s="334">
        <f>Results!D18+Results!D27</f>
        <v>15.57549443384184</v>
      </c>
      <c r="E16" s="335">
        <f>Results!E18+Results!E27</f>
        <v>609.65010063374291</v>
      </c>
      <c r="F16" s="238"/>
      <c r="G16" s="238"/>
      <c r="H16" s="238"/>
      <c r="M16" s="353"/>
      <c r="N16" s="354"/>
      <c r="O16" s="2"/>
      <c r="P16" s="2"/>
      <c r="Q16" s="2"/>
      <c r="R16" s="2"/>
      <c r="S16" s="2"/>
      <c r="T16" s="2"/>
    </row>
    <row r="17" spans="1:20" ht="15" thickBot="1">
      <c r="A17" s="2"/>
      <c r="B17" s="336" t="s">
        <v>71</v>
      </c>
      <c r="C17" s="337">
        <f>Results!C19+Results!C28</f>
        <v>20147.830585658019</v>
      </c>
      <c r="D17" s="337">
        <f>Results!D19+Results!D28</f>
        <v>287.69099967611567</v>
      </c>
      <c r="E17" s="338">
        <f>Results!E19+Results!E28</f>
        <v>20435.521585334136</v>
      </c>
      <c r="F17" s="238"/>
      <c r="G17" s="238"/>
      <c r="H17" s="238"/>
      <c r="M17" s="353"/>
      <c r="N17" s="354"/>
      <c r="O17" s="2"/>
      <c r="P17" s="313"/>
      <c r="Q17" s="2"/>
      <c r="R17" s="2"/>
      <c r="S17" s="2"/>
      <c r="T17" s="2"/>
    </row>
    <row r="18" spans="1:20">
      <c r="A18" s="2"/>
      <c r="B18" s="48"/>
      <c r="C18" s="334"/>
      <c r="D18" s="334"/>
      <c r="E18" s="335"/>
      <c r="F18" s="238"/>
      <c r="G18" s="238"/>
      <c r="H18" s="238"/>
      <c r="M18" s="353"/>
      <c r="N18" s="354"/>
      <c r="O18" s="2"/>
      <c r="P18" s="313"/>
      <c r="Q18" s="2"/>
      <c r="R18" s="2"/>
      <c r="S18" s="2"/>
      <c r="T18" s="2"/>
    </row>
    <row r="19" spans="1:20">
      <c r="A19" s="2"/>
      <c r="B19" s="2"/>
      <c r="C19" s="2"/>
      <c r="D19" s="2"/>
      <c r="E19" s="2"/>
      <c r="F19" s="2"/>
      <c r="G19" s="2"/>
      <c r="H19" s="2"/>
      <c r="I19" s="2"/>
      <c r="J19" s="2"/>
      <c r="L19" s="2"/>
      <c r="M19" s="2"/>
      <c r="N19" s="2"/>
      <c r="O19" s="2"/>
      <c r="P19" s="313"/>
      <c r="Q19" s="2"/>
      <c r="R19" s="2"/>
      <c r="S19" s="2"/>
      <c r="T19" s="2"/>
    </row>
    <row r="20" spans="1:20" ht="15" thickBot="1">
      <c r="A20" s="2"/>
      <c r="B20" s="348" t="s">
        <v>171</v>
      </c>
      <c r="C20" s="348"/>
      <c r="D20" s="348"/>
      <c r="E20" s="348"/>
      <c r="F20" s="2"/>
      <c r="G20" s="2"/>
      <c r="H20" s="2"/>
      <c r="I20" s="2"/>
      <c r="J20" s="2"/>
      <c r="K20" s="2"/>
      <c r="L20" s="2"/>
      <c r="M20" s="2"/>
      <c r="N20" s="2"/>
      <c r="O20" s="2"/>
      <c r="P20" s="2"/>
      <c r="Q20" s="2"/>
      <c r="R20" s="2"/>
      <c r="S20" s="2"/>
      <c r="T20" s="2"/>
    </row>
    <row r="21" spans="1:20" ht="15">
      <c r="A21" s="2"/>
      <c r="B21" s="724" t="s">
        <v>131</v>
      </c>
      <c r="C21" s="726" t="s">
        <v>172</v>
      </c>
      <c r="D21" s="726"/>
      <c r="E21" s="726"/>
      <c r="F21" s="2"/>
      <c r="G21" s="2"/>
      <c r="H21" s="2"/>
      <c r="I21" s="2"/>
      <c r="J21" s="2"/>
      <c r="K21" s="2"/>
      <c r="L21" s="2"/>
      <c r="M21" s="2"/>
      <c r="N21" s="2"/>
      <c r="O21" s="2"/>
      <c r="P21" s="2"/>
      <c r="Q21" s="2"/>
      <c r="R21" s="2"/>
      <c r="S21" s="2"/>
      <c r="T21" s="2"/>
    </row>
    <row r="22" spans="1:20" ht="15" thickBot="1">
      <c r="A22" s="2"/>
      <c r="B22" s="725"/>
      <c r="C22" s="332" t="s">
        <v>166</v>
      </c>
      <c r="D22" s="332" t="s">
        <v>167</v>
      </c>
      <c r="E22" s="333" t="s">
        <v>168</v>
      </c>
      <c r="F22" s="2"/>
      <c r="G22" s="2"/>
      <c r="H22" s="2"/>
      <c r="I22" s="2"/>
      <c r="J22" s="2"/>
      <c r="K22" s="2"/>
      <c r="L22" s="2"/>
      <c r="M22" s="2"/>
      <c r="N22" s="2"/>
      <c r="O22" s="2"/>
      <c r="P22" s="2"/>
      <c r="Q22" s="2"/>
      <c r="R22" s="2"/>
      <c r="S22" s="2"/>
      <c r="T22" s="2"/>
    </row>
    <row r="23" spans="1:20">
      <c r="A23" s="2"/>
      <c r="B23" s="48" t="s">
        <v>64</v>
      </c>
      <c r="C23" s="334">
        <f>Results!F12+Results!F21</f>
        <v>0</v>
      </c>
      <c r="D23" s="334">
        <f>Results!G12+Results!G21</f>
        <v>0</v>
      </c>
      <c r="E23" s="335">
        <f>Results!H12+Results!H21</f>
        <v>0</v>
      </c>
      <c r="F23" s="238"/>
      <c r="G23" s="238"/>
      <c r="H23" s="238"/>
      <c r="I23" s="2"/>
      <c r="J23" s="2"/>
      <c r="K23" s="2"/>
      <c r="L23" s="2"/>
      <c r="M23" s="2"/>
      <c r="N23" s="2"/>
      <c r="O23" s="2"/>
      <c r="P23" s="2"/>
      <c r="Q23" s="2"/>
      <c r="R23" s="2"/>
      <c r="S23" s="2"/>
      <c r="T23" s="2"/>
    </row>
    <row r="24" spans="1:20">
      <c r="A24" s="2"/>
      <c r="B24" s="48" t="s">
        <v>65</v>
      </c>
      <c r="C24" s="334">
        <f>Results!F13+Results!F22</f>
        <v>0</v>
      </c>
      <c r="D24" s="334">
        <f>Results!G13+Results!G22</f>
        <v>0</v>
      </c>
      <c r="E24" s="335">
        <f>Results!H13+Results!H22</f>
        <v>0</v>
      </c>
      <c r="F24" s="238"/>
      <c r="G24" s="238"/>
      <c r="H24" s="238"/>
      <c r="I24" s="2"/>
      <c r="J24" s="2"/>
      <c r="K24" s="2"/>
      <c r="L24" s="2"/>
      <c r="M24" s="2"/>
      <c r="N24" s="2"/>
      <c r="O24" s="2"/>
      <c r="P24" s="2"/>
      <c r="Q24" s="2"/>
      <c r="R24" s="2"/>
      <c r="S24" s="2"/>
      <c r="T24" s="2"/>
    </row>
    <row r="25" spans="1:20">
      <c r="A25" s="2"/>
      <c r="B25" s="48" t="s">
        <v>66</v>
      </c>
      <c r="C25" s="334">
        <f>Results!F14+Results!F23</f>
        <v>26188.227499671339</v>
      </c>
      <c r="D25" s="334">
        <f>Results!G14+Results!G23</f>
        <v>562.40023537042725</v>
      </c>
      <c r="E25" s="335">
        <f>Results!H14+Results!H23</f>
        <v>26750.627735041766</v>
      </c>
      <c r="F25" s="238"/>
      <c r="G25" s="238"/>
      <c r="H25" s="238"/>
      <c r="I25" s="2"/>
      <c r="J25" s="2"/>
      <c r="K25" s="2"/>
      <c r="L25" s="2"/>
      <c r="M25" s="2"/>
      <c r="N25" s="2"/>
      <c r="O25" s="2"/>
      <c r="P25" s="2"/>
      <c r="Q25" s="2"/>
      <c r="R25" s="2"/>
      <c r="S25" s="2"/>
      <c r="T25" s="2"/>
    </row>
    <row r="26" spans="1:20">
      <c r="A26" s="2"/>
      <c r="B26" s="48" t="s">
        <v>169</v>
      </c>
      <c r="C26" s="334">
        <f>Results!F15+Results!F24</f>
        <v>16611.58550004696</v>
      </c>
      <c r="D26" s="334">
        <f>Results!G15+Results!G24</f>
        <v>356.7389047318926</v>
      </c>
      <c r="E26" s="335">
        <f>Results!H15+Results!H24</f>
        <v>16968.324404778854</v>
      </c>
      <c r="F26" s="238"/>
      <c r="G26" s="238"/>
      <c r="H26" s="238"/>
      <c r="I26" s="2"/>
      <c r="J26" s="2"/>
      <c r="K26" s="2"/>
      <c r="L26" s="2"/>
      <c r="M26" s="2"/>
      <c r="N26" s="2"/>
      <c r="O26" s="2"/>
      <c r="P26" s="2"/>
      <c r="Q26" s="2"/>
      <c r="R26" s="2"/>
      <c r="S26" s="2"/>
      <c r="T26" s="2"/>
    </row>
    <row r="27" spans="1:20">
      <c r="A27" s="2"/>
      <c r="B27" s="48" t="s">
        <v>68</v>
      </c>
      <c r="C27" s="334">
        <f>Results!F16+Results!F25</f>
        <v>12081.153090943244</v>
      </c>
      <c r="D27" s="334">
        <f>Results!G16+Results!G25</f>
        <v>259.44647616864921</v>
      </c>
      <c r="E27" s="335">
        <f>Results!H16+Results!H25</f>
        <v>12340.599567111893</v>
      </c>
      <c r="F27" s="238"/>
      <c r="G27" s="238"/>
      <c r="H27" s="238"/>
      <c r="I27" s="2"/>
      <c r="J27" s="2"/>
      <c r="K27" s="2"/>
      <c r="L27" s="2"/>
      <c r="M27" s="2"/>
      <c r="N27" s="2"/>
      <c r="O27" s="2"/>
      <c r="P27" s="2"/>
      <c r="Q27" s="2"/>
      <c r="R27" s="2"/>
      <c r="S27" s="2"/>
      <c r="T27" s="2"/>
    </row>
    <row r="28" spans="1:20">
      <c r="A28" s="2"/>
      <c r="B28" s="48" t="s">
        <v>170</v>
      </c>
      <c r="C28" s="334">
        <f>Results!F17+Results!F26</f>
        <v>3113.6992502431035</v>
      </c>
      <c r="D28" s="334">
        <f>Results!G17+Results!G26</f>
        <v>66.867648497074541</v>
      </c>
      <c r="E28" s="335">
        <f>Results!H17+Results!H26</f>
        <v>3180.5668987401782</v>
      </c>
      <c r="F28" s="238"/>
      <c r="G28" s="238"/>
      <c r="H28" s="238"/>
      <c r="I28" s="2"/>
      <c r="J28" s="2"/>
      <c r="K28" s="2"/>
      <c r="L28" s="2"/>
      <c r="M28" s="2"/>
      <c r="N28" s="2"/>
      <c r="O28" s="2"/>
      <c r="P28" s="2"/>
      <c r="Q28" s="2"/>
      <c r="R28" s="2"/>
      <c r="S28" s="2"/>
      <c r="T28" s="2"/>
    </row>
    <row r="29" spans="1:20">
      <c r="A29" s="2"/>
      <c r="B29" s="48" t="s">
        <v>70</v>
      </c>
      <c r="C29" s="334">
        <f>Results!F18+Results!F27</f>
        <v>2577.557232900569</v>
      </c>
      <c r="D29" s="334">
        <f>Results!G18+Results!G27</f>
        <v>55.353833873721314</v>
      </c>
      <c r="E29" s="335">
        <f>Results!H18+Results!H27</f>
        <v>2632.9110667742902</v>
      </c>
      <c r="F29" s="238"/>
      <c r="G29" s="238"/>
      <c r="H29" s="238"/>
      <c r="I29" s="2"/>
      <c r="J29" s="2"/>
      <c r="K29" s="2"/>
      <c r="L29" s="2"/>
      <c r="M29" s="2"/>
      <c r="N29" s="2"/>
      <c r="O29" s="2"/>
      <c r="P29" s="2"/>
      <c r="Q29" s="2"/>
      <c r="R29" s="2"/>
      <c r="S29" s="2"/>
      <c r="T29" s="2"/>
    </row>
    <row r="30" spans="1:20" ht="15" thickBot="1">
      <c r="A30" s="2"/>
      <c r="B30" s="336" t="s">
        <v>71</v>
      </c>
      <c r="C30" s="337">
        <f>Results!F19+Results!F28</f>
        <v>0</v>
      </c>
      <c r="D30" s="337">
        <f>Results!G19+Results!G28</f>
        <v>0</v>
      </c>
      <c r="E30" s="338">
        <f>Results!H19+Results!H28</f>
        <v>0</v>
      </c>
      <c r="F30" s="238"/>
      <c r="G30" s="238"/>
      <c r="H30" s="238"/>
      <c r="I30" s="2"/>
      <c r="J30" s="2"/>
      <c r="K30" s="2"/>
      <c r="L30" s="2"/>
      <c r="M30" s="2"/>
      <c r="N30" s="2"/>
      <c r="O30" s="2"/>
      <c r="P30" s="2"/>
      <c r="Q30" s="2"/>
      <c r="R30" s="2"/>
      <c r="S30" s="2"/>
      <c r="T30" s="2"/>
    </row>
    <row r="31" spans="1:20">
      <c r="A31" s="2"/>
      <c r="B31" s="48"/>
      <c r="C31" s="334"/>
      <c r="D31" s="334"/>
      <c r="E31" s="335"/>
      <c r="F31" s="238"/>
      <c r="G31" s="238"/>
      <c r="H31" s="238"/>
      <c r="I31" s="2"/>
      <c r="J31" s="2"/>
      <c r="K31" s="2"/>
      <c r="L31" s="2"/>
      <c r="M31" s="2"/>
      <c r="N31" s="2"/>
      <c r="O31" s="2"/>
      <c r="P31" s="2"/>
      <c r="Q31" s="2"/>
      <c r="R31" s="2"/>
      <c r="S31" s="2"/>
      <c r="T31" s="2"/>
    </row>
    <row r="32" spans="1:20">
      <c r="A32" s="2"/>
      <c r="B32" s="2"/>
      <c r="C32" s="2"/>
      <c r="D32" s="2"/>
      <c r="E32" s="2"/>
      <c r="F32" s="2"/>
      <c r="G32" s="2"/>
      <c r="H32" s="2"/>
      <c r="K32" s="353"/>
      <c r="L32" s="2"/>
      <c r="M32" s="2"/>
      <c r="N32" s="2"/>
      <c r="O32" s="2"/>
      <c r="P32" s="2"/>
      <c r="Q32" s="2"/>
      <c r="R32" s="2"/>
      <c r="S32" s="2"/>
      <c r="T32" s="2"/>
    </row>
    <row r="33" spans="1:20" ht="15" thickBot="1">
      <c r="A33" s="2"/>
      <c r="B33" s="348" t="s">
        <v>173</v>
      </c>
      <c r="C33" s="348"/>
      <c r="D33" s="348"/>
      <c r="E33" s="348"/>
      <c r="F33" s="2"/>
      <c r="G33" s="2"/>
      <c r="H33" s="2"/>
      <c r="M33" s="174"/>
      <c r="N33" s="2"/>
      <c r="O33" s="2"/>
      <c r="Q33" s="2"/>
      <c r="R33" s="2"/>
      <c r="S33" s="2"/>
      <c r="T33" s="2"/>
    </row>
    <row r="34" spans="1:20">
      <c r="A34" s="2"/>
      <c r="B34" s="724" t="s">
        <v>131</v>
      </c>
      <c r="C34" s="726" t="s">
        <v>174</v>
      </c>
      <c r="D34" s="726"/>
      <c r="E34" s="726"/>
      <c r="F34" s="2"/>
      <c r="G34" s="2"/>
      <c r="H34" s="2"/>
      <c r="M34" s="178"/>
      <c r="N34" s="177"/>
      <c r="O34" s="2"/>
      <c r="P34" s="2"/>
      <c r="Q34" s="2"/>
      <c r="R34" s="2"/>
      <c r="S34" s="2"/>
      <c r="T34" s="2"/>
    </row>
    <row r="35" spans="1:20" ht="15" thickBot="1">
      <c r="A35" s="2"/>
      <c r="B35" s="725"/>
      <c r="C35" s="332" t="s">
        <v>166</v>
      </c>
      <c r="D35" s="332" t="s">
        <v>167</v>
      </c>
      <c r="E35" s="333" t="s">
        <v>168</v>
      </c>
      <c r="F35" s="2"/>
      <c r="G35" s="2"/>
      <c r="H35" s="2"/>
      <c r="M35" s="178"/>
      <c r="N35" s="178"/>
      <c r="O35" s="2"/>
      <c r="P35" s="2"/>
      <c r="Q35" s="2"/>
      <c r="R35" s="2"/>
      <c r="S35" s="2"/>
      <c r="T35" s="2"/>
    </row>
    <row r="36" spans="1:20">
      <c r="A36" s="2"/>
      <c r="B36" s="48" t="s">
        <v>64</v>
      </c>
      <c r="C36" s="341" t="s">
        <v>154</v>
      </c>
      <c r="D36" s="341" t="s">
        <v>154</v>
      </c>
      <c r="E36" s="342" t="s">
        <v>154</v>
      </c>
      <c r="F36" s="238"/>
      <c r="G36" s="238"/>
      <c r="H36" s="238"/>
      <c r="M36" s="353"/>
      <c r="N36" s="355"/>
      <c r="O36" s="2"/>
      <c r="P36" s="2"/>
      <c r="Q36" s="2"/>
      <c r="R36" s="2"/>
      <c r="S36" s="2"/>
      <c r="T36" s="2"/>
    </row>
    <row r="37" spans="1:20">
      <c r="A37" s="2"/>
      <c r="B37" s="48" t="s">
        <v>65</v>
      </c>
      <c r="C37" s="342">
        <f t="shared" ref="C37:E37" si="0">C11/(C11+C24)</f>
        <v>1</v>
      </c>
      <c r="D37" s="342">
        <f t="shared" si="0"/>
        <v>1</v>
      </c>
      <c r="E37" s="342">
        <f t="shared" si="0"/>
        <v>1</v>
      </c>
      <c r="F37" s="238"/>
      <c r="G37" s="238"/>
      <c r="H37" s="238"/>
      <c r="M37" s="353"/>
      <c r="N37" s="355"/>
      <c r="O37" s="2"/>
      <c r="P37" s="2"/>
      <c r="Q37" s="2"/>
      <c r="R37" s="2"/>
      <c r="S37" s="2"/>
      <c r="T37" s="2"/>
    </row>
    <row r="38" spans="1:20">
      <c r="A38" s="2"/>
      <c r="B38" s="48" t="s">
        <v>66</v>
      </c>
      <c r="C38" s="342">
        <f t="shared" ref="C38:E38" si="1">C12/(C12+C25)</f>
        <v>0.66468047247052142</v>
      </c>
      <c r="D38" s="342">
        <f t="shared" si="1"/>
        <v>0.72600108035898425</v>
      </c>
      <c r="E38" s="342">
        <f t="shared" si="1"/>
        <v>0.66625079678293619</v>
      </c>
      <c r="F38" s="238"/>
      <c r="G38" s="238"/>
      <c r="H38" s="238"/>
      <c r="M38" s="353"/>
      <c r="N38" s="355"/>
      <c r="O38" s="2"/>
      <c r="P38" s="2"/>
      <c r="Q38" s="2"/>
      <c r="R38" s="2"/>
      <c r="S38" s="2"/>
      <c r="T38" s="2"/>
    </row>
    <row r="39" spans="1:20">
      <c r="A39" s="2"/>
      <c r="B39" s="48" t="s">
        <v>169</v>
      </c>
      <c r="C39" s="341">
        <f t="shared" ref="C39:E39" si="2">C13/(C13+C26)</f>
        <v>0.31048976173482129</v>
      </c>
      <c r="D39" s="341">
        <f t="shared" si="2"/>
        <v>0.3572540902950459</v>
      </c>
      <c r="E39" s="341">
        <f t="shared" si="2"/>
        <v>0.31154284767323576</v>
      </c>
      <c r="F39" s="238"/>
      <c r="G39" s="238"/>
      <c r="H39" s="238"/>
      <c r="M39" s="353"/>
      <c r="N39" s="355"/>
      <c r="O39" s="2"/>
      <c r="P39" s="2"/>
      <c r="Q39" s="2"/>
      <c r="R39" s="2"/>
      <c r="S39" s="2"/>
      <c r="T39" s="2"/>
    </row>
    <row r="40" spans="1:20">
      <c r="A40" s="2"/>
      <c r="B40" s="48" t="s">
        <v>68</v>
      </c>
      <c r="C40" s="341">
        <f t="shared" ref="C40:E40" si="3">C14/(C14+C27)</f>
        <v>0.12815879139932343</v>
      </c>
      <c r="D40" s="341">
        <f t="shared" si="3"/>
        <v>0.15239613980197006</v>
      </c>
      <c r="E40" s="341">
        <f t="shared" si="3"/>
        <v>0.12868260898947861</v>
      </c>
      <c r="F40" s="238"/>
      <c r="G40" s="238"/>
      <c r="H40" s="238"/>
      <c r="M40" s="353"/>
      <c r="N40" s="355"/>
      <c r="O40" s="2"/>
      <c r="P40" s="2"/>
      <c r="Q40" s="2"/>
      <c r="R40" s="2"/>
      <c r="S40" s="2"/>
      <c r="T40" s="2"/>
    </row>
    <row r="41" spans="1:20">
      <c r="A41" s="2"/>
      <c r="B41" s="48" t="s">
        <v>170</v>
      </c>
      <c r="C41" s="341">
        <f t="shared" ref="C41:E41" si="4">C15/(C15+C28)</f>
        <v>0.36319997391348358</v>
      </c>
      <c r="D41" s="341">
        <f t="shared" si="4"/>
        <v>0.41093659026118234</v>
      </c>
      <c r="E41" s="341">
        <f t="shared" si="4"/>
        <v>0.36428306475216193</v>
      </c>
      <c r="F41" s="238"/>
      <c r="G41" s="238"/>
      <c r="H41" s="238"/>
      <c r="K41" s="2"/>
      <c r="M41" s="353"/>
      <c r="N41" s="355"/>
      <c r="O41" s="2"/>
      <c r="P41" s="2"/>
      <c r="Q41" s="2"/>
      <c r="R41" s="2"/>
      <c r="S41" s="2"/>
      <c r="T41" s="2"/>
    </row>
    <row r="42" spans="1:20">
      <c r="A42" s="2"/>
      <c r="B42" s="48" t="s">
        <v>70</v>
      </c>
      <c r="C42" s="341">
        <f t="shared" ref="C42:E42" si="5">C16/(C16+C29)</f>
        <v>0.18730881651395923</v>
      </c>
      <c r="D42" s="341">
        <f t="shared" si="5"/>
        <v>0.21959173737418622</v>
      </c>
      <c r="E42" s="341">
        <f t="shared" si="5"/>
        <v>0.18801498851016943</v>
      </c>
      <c r="F42" s="238"/>
      <c r="G42" s="238"/>
      <c r="H42" s="238"/>
      <c r="M42" s="353"/>
      <c r="N42" s="355"/>
      <c r="O42" s="2"/>
      <c r="P42" s="2"/>
      <c r="Q42" s="2"/>
      <c r="R42" s="2"/>
      <c r="S42" s="2"/>
      <c r="T42" s="2"/>
    </row>
    <row r="43" spans="1:20" ht="15" thickBot="1">
      <c r="A43" s="2"/>
      <c r="B43" s="336" t="s">
        <v>71</v>
      </c>
      <c r="C43" s="344">
        <f t="shared" ref="C43:E43" si="6">C17/(C17+C30)</f>
        <v>1</v>
      </c>
      <c r="D43" s="344">
        <f t="shared" si="6"/>
        <v>1</v>
      </c>
      <c r="E43" s="344">
        <f t="shared" si="6"/>
        <v>1</v>
      </c>
      <c r="F43" s="238"/>
      <c r="G43" s="238"/>
      <c r="H43" s="238"/>
      <c r="M43" s="353"/>
      <c r="N43" s="355"/>
      <c r="O43" s="2"/>
      <c r="P43" s="89"/>
      <c r="Q43" s="2"/>
      <c r="R43" s="2"/>
      <c r="S43" s="2"/>
      <c r="T43" s="2"/>
    </row>
    <row r="44" spans="1:20">
      <c r="A44" s="3"/>
      <c r="B44" s="3"/>
      <c r="C44" s="3"/>
      <c r="D44" s="3"/>
      <c r="E44" s="3"/>
      <c r="F44" s="3"/>
      <c r="G44" s="3"/>
      <c r="H44" s="3"/>
      <c r="L44" s="2"/>
      <c r="M44" s="2"/>
      <c r="N44" s="2"/>
      <c r="O44" s="2"/>
      <c r="P44" s="2"/>
      <c r="Q44" s="2"/>
      <c r="R44" s="2"/>
      <c r="S44" s="2"/>
      <c r="T44" s="2"/>
    </row>
    <row r="45" spans="1:20">
      <c r="A45" s="3"/>
      <c r="B45" s="3"/>
      <c r="C45" s="3"/>
      <c r="D45" s="3"/>
      <c r="E45" s="3"/>
      <c r="F45" s="3"/>
      <c r="G45" s="3"/>
      <c r="H45" s="3"/>
      <c r="L45" s="2"/>
      <c r="M45" s="2"/>
      <c r="N45" s="2"/>
      <c r="O45" s="2"/>
      <c r="P45" s="2"/>
      <c r="Q45" s="2"/>
      <c r="R45" s="2"/>
      <c r="S45" s="2"/>
      <c r="T45" s="2"/>
    </row>
    <row r="46" spans="1:20" ht="15" thickBot="1">
      <c r="A46" s="3"/>
      <c r="B46" s="348" t="s">
        <v>175</v>
      </c>
      <c r="C46" s="348"/>
      <c r="D46" s="174"/>
      <c r="E46" s="2"/>
      <c r="F46" s="3"/>
      <c r="G46" s="3"/>
      <c r="H46" s="3"/>
      <c r="L46" s="2"/>
      <c r="M46" s="2"/>
      <c r="N46" s="2"/>
      <c r="O46" s="2"/>
      <c r="P46" s="2"/>
      <c r="Q46" s="2"/>
      <c r="R46" s="2"/>
      <c r="S46" s="2"/>
      <c r="T46" s="2"/>
    </row>
    <row r="47" spans="1:20">
      <c r="A47" s="3"/>
      <c r="B47" s="724" t="s">
        <v>176</v>
      </c>
      <c r="C47" s="631" t="s">
        <v>177</v>
      </c>
      <c r="D47" s="631" t="s">
        <v>178</v>
      </c>
      <c r="E47" s="671" t="s">
        <v>179</v>
      </c>
      <c r="F47" s="3"/>
      <c r="G47" s="3"/>
      <c r="H47" s="3"/>
      <c r="L47" s="2"/>
      <c r="M47" s="2"/>
      <c r="N47" s="2"/>
      <c r="O47" s="2"/>
      <c r="P47" s="2"/>
      <c r="Q47" s="2"/>
      <c r="R47" s="2"/>
      <c r="S47" s="2"/>
      <c r="T47" s="2"/>
    </row>
    <row r="48" spans="1:20" ht="15" thickBot="1">
      <c r="A48" s="3"/>
      <c r="B48" s="725"/>
      <c r="C48" s="672">
        <f>'NZ nat data'!C65</f>
        <v>360099</v>
      </c>
      <c r="D48" s="672">
        <f>SUM('NZ nat data'!C66:C70)</f>
        <v>523686.34207034146</v>
      </c>
      <c r="E48" s="672">
        <f>'NZ nat data'!C71</f>
        <v>44645.397397201348</v>
      </c>
      <c r="F48" s="3"/>
      <c r="G48" s="3"/>
      <c r="H48" s="3"/>
      <c r="L48" s="2"/>
      <c r="M48" s="2"/>
      <c r="N48" s="2"/>
      <c r="O48" s="2"/>
      <c r="P48" s="2"/>
      <c r="Q48" s="2"/>
      <c r="R48" s="2"/>
      <c r="S48" s="2"/>
      <c r="T48" s="2"/>
    </row>
    <row r="49" spans="1:20">
      <c r="A49" s="3"/>
      <c r="B49" s="48" t="s">
        <v>180</v>
      </c>
      <c r="C49" s="673">
        <f>'Indoor impacts NZ'!J13+'Indoor impacts NZ'!J30</f>
        <v>207.8622419272024</v>
      </c>
      <c r="D49" s="673">
        <f>SUM('Indoor impacts NZ'!K13:O13)+SUM('Indoor impacts NZ'!K30:O30)</f>
        <v>101.20413310186824</v>
      </c>
      <c r="E49" s="673">
        <f>'Indoor impacts NZ'!P13+'Indoor impacts NZ'!P30</f>
        <v>57.32359373065681</v>
      </c>
      <c r="F49" s="3"/>
      <c r="G49" s="3"/>
      <c r="H49" s="3"/>
      <c r="L49" s="2"/>
      <c r="M49" s="2"/>
      <c r="N49" s="2"/>
      <c r="O49" s="2"/>
      <c r="P49" s="2"/>
      <c r="Q49" s="2"/>
      <c r="R49" s="2"/>
      <c r="S49" s="2"/>
      <c r="T49" s="2"/>
    </row>
    <row r="50" spans="1:20">
      <c r="A50" s="3"/>
      <c r="B50" s="48" t="s">
        <v>181</v>
      </c>
      <c r="C50" s="673">
        <f>'Indoor impacts NZ'!J17+'Indoor impacts NZ'!J34</f>
        <v>235.75578072983942</v>
      </c>
      <c r="D50" s="673">
        <f>SUM('Indoor impacts NZ'!K17:O17)+SUM('Indoor impacts NZ'!K34:O34)</f>
        <v>255.27023465340054</v>
      </c>
      <c r="E50" s="673">
        <f>'Indoor impacts NZ'!P17+'Indoor impacts NZ'!P34</f>
        <v>66.16496530623931</v>
      </c>
      <c r="F50" s="3"/>
      <c r="G50" s="3"/>
      <c r="H50" s="3"/>
      <c r="L50" s="2"/>
      <c r="M50" s="2"/>
      <c r="N50" s="2"/>
      <c r="O50" s="2"/>
      <c r="P50" s="2"/>
      <c r="Q50" s="2"/>
      <c r="R50" s="2"/>
      <c r="S50" s="2"/>
      <c r="T50" s="2"/>
    </row>
    <row r="51" spans="1:20">
      <c r="A51" s="3"/>
      <c r="B51" s="48" t="s">
        <v>182</v>
      </c>
      <c r="C51" s="673">
        <f>'Indoor impacts NZ'!J18+'Indoor impacts NZ'!J35</f>
        <v>775.28171420272565</v>
      </c>
      <c r="D51" s="673">
        <f>SUM('Indoor impacts NZ'!K18:O18)+SUM('Indoor impacts NZ'!K35:O35)</f>
        <v>191.00125695694197</v>
      </c>
      <c r="E51" s="673">
        <f>'Indoor impacts NZ'!P18+'Indoor impacts NZ'!P35</f>
        <v>211.43717716487245</v>
      </c>
      <c r="F51" s="3"/>
      <c r="G51" s="3"/>
      <c r="H51" s="3"/>
      <c r="L51" s="2"/>
      <c r="M51" s="2"/>
      <c r="N51" s="2"/>
      <c r="O51" s="2"/>
      <c r="P51" s="2"/>
      <c r="Q51" s="2"/>
      <c r="R51" s="2"/>
      <c r="S51" s="2"/>
      <c r="T51" s="2"/>
    </row>
    <row r="52" spans="1:20">
      <c r="A52" s="3"/>
      <c r="B52" s="48" t="s">
        <v>183</v>
      </c>
      <c r="C52" s="673">
        <f>'Indoor impacts NZ'!I19</f>
        <v>0</v>
      </c>
      <c r="D52" s="635">
        <f>SUM('Indoor impacts NZ'!K19:O19)</f>
        <v>167203.58230899952</v>
      </c>
      <c r="E52" s="673">
        <f>'Indoor impacts NZ'!P19</f>
        <v>0</v>
      </c>
      <c r="F52" s="3"/>
      <c r="G52" s="3"/>
      <c r="H52" s="3"/>
      <c r="L52" s="2"/>
      <c r="M52" s="2"/>
      <c r="N52" s="2"/>
      <c r="O52" s="2"/>
      <c r="P52" s="2"/>
      <c r="Q52" s="2"/>
      <c r="R52" s="2"/>
      <c r="S52" s="2"/>
      <c r="T52" s="2"/>
    </row>
    <row r="53" spans="1:20" ht="15" thickBot="1">
      <c r="A53" s="3"/>
      <c r="B53" s="336" t="s">
        <v>184</v>
      </c>
      <c r="C53" s="674">
        <f>'Indoor impacts NZ'!J37</f>
        <v>3229.9077179484775</v>
      </c>
      <c r="D53" s="674">
        <f>SUM('Indoor impacts NZ'!K37:O37)</f>
        <v>0</v>
      </c>
      <c r="E53" s="674">
        <f>'Indoor impacts NZ'!P37</f>
        <v>882.33910437282123</v>
      </c>
      <c r="F53" s="3"/>
      <c r="G53" s="3"/>
      <c r="L53" s="2"/>
      <c r="M53" s="2"/>
      <c r="N53" s="2"/>
      <c r="O53" s="2"/>
      <c r="P53" s="2"/>
      <c r="Q53" s="2"/>
      <c r="R53" s="2"/>
      <c r="S53" s="2"/>
      <c r="T53" s="2"/>
    </row>
    <row r="54" spans="1:20" hidden="1">
      <c r="A54" s="3"/>
      <c r="B54" s="3"/>
      <c r="C54" s="583">
        <f>C53/H54</f>
        <v>3.2625330484328058E-2</v>
      </c>
      <c r="D54" s="3"/>
      <c r="E54" s="583">
        <f>E53/H54</f>
        <v>8.9125162057860727E-3</v>
      </c>
      <c r="F54" s="584">
        <f>E54+C54</f>
        <v>4.1537846690114129E-2</v>
      </c>
      <c r="G54" s="3"/>
      <c r="H54" s="580">
        <v>99000</v>
      </c>
      <c r="I54" s="580" t="s">
        <v>185</v>
      </c>
      <c r="L54" s="2"/>
      <c r="M54" s="2"/>
      <c r="N54" s="2"/>
      <c r="O54" s="2"/>
      <c r="P54" s="2"/>
      <c r="Q54" s="2"/>
      <c r="R54" s="2"/>
      <c r="S54" s="2"/>
      <c r="T54" s="2"/>
    </row>
    <row r="55" spans="1:20" hidden="1">
      <c r="A55" s="3"/>
      <c r="B55" s="3"/>
      <c r="C55" s="583">
        <f>C53/H55</f>
        <v>2.1225793150697433E-2</v>
      </c>
      <c r="D55" s="3"/>
      <c r="E55" s="583">
        <f>E53/H55</f>
        <v>5.7984156061538237E-3</v>
      </c>
      <c r="F55" s="584">
        <f>E55+C55</f>
        <v>2.7024208756851256E-2</v>
      </c>
      <c r="G55" s="3"/>
      <c r="H55" s="580">
        <v>152169</v>
      </c>
      <c r="I55" s="701" t="s">
        <v>186</v>
      </c>
      <c r="L55" s="2"/>
      <c r="M55" s="2"/>
      <c r="N55" s="2"/>
      <c r="O55" s="2"/>
      <c r="P55" s="2"/>
      <c r="Q55" s="2"/>
      <c r="R55" s="2"/>
      <c r="S55" s="2"/>
      <c r="T55" s="2"/>
    </row>
    <row r="56" spans="1:20">
      <c r="A56" s="3"/>
      <c r="B56" s="3"/>
      <c r="C56" s="583"/>
      <c r="D56" s="3"/>
      <c r="E56" s="583"/>
      <c r="F56" s="584"/>
      <c r="G56" s="3"/>
      <c r="H56" s="580"/>
      <c r="I56" s="580"/>
      <c r="L56" s="2"/>
      <c r="M56" s="2"/>
      <c r="N56" s="2"/>
      <c r="O56" s="2"/>
      <c r="P56" s="2"/>
      <c r="Q56" s="2"/>
      <c r="R56" s="2"/>
      <c r="S56" s="2"/>
      <c r="T56" s="2"/>
    </row>
    <row r="57" spans="1:20">
      <c r="A57" s="3"/>
      <c r="B57" s="3"/>
      <c r="C57" s="583"/>
      <c r="D57" s="3"/>
      <c r="E57" s="583"/>
      <c r="F57" s="584"/>
      <c r="G57" s="3"/>
      <c r="H57" s="580"/>
      <c r="I57" s="580"/>
      <c r="L57" s="2"/>
      <c r="M57" s="2"/>
      <c r="N57" s="2"/>
      <c r="O57" s="2"/>
      <c r="P57" s="2"/>
      <c r="Q57" s="2"/>
      <c r="R57" s="2"/>
      <c r="S57" s="2"/>
      <c r="T57" s="2"/>
    </row>
    <row r="58" spans="1:20" ht="15" thickBot="1">
      <c r="A58" s="3"/>
      <c r="B58" s="348" t="s">
        <v>187</v>
      </c>
      <c r="C58" s="348"/>
      <c r="D58" s="348"/>
      <c r="E58" s="2"/>
      <c r="F58" s="3"/>
      <c r="G58" s="3"/>
      <c r="H58" s="3"/>
      <c r="L58" s="2"/>
      <c r="M58" s="2"/>
      <c r="N58" s="2"/>
      <c r="O58" s="2"/>
      <c r="P58" s="2"/>
      <c r="Q58" s="2"/>
      <c r="R58" s="2"/>
      <c r="S58" s="2"/>
      <c r="T58" s="2"/>
    </row>
    <row r="59" spans="1:20" ht="15">
      <c r="A59" s="3"/>
      <c r="B59" s="724" t="s">
        <v>131</v>
      </c>
      <c r="C59" s="681" t="s">
        <v>188</v>
      </c>
      <c r="D59" s="671" t="s">
        <v>189</v>
      </c>
      <c r="E59" s="671"/>
      <c r="F59" s="3"/>
      <c r="G59" s="3"/>
      <c r="H59" s="3"/>
      <c r="L59" s="2"/>
      <c r="M59" s="2"/>
      <c r="N59" s="2"/>
      <c r="O59" s="2"/>
      <c r="P59" s="2"/>
      <c r="Q59" s="2"/>
      <c r="R59" s="2"/>
      <c r="S59" s="2"/>
      <c r="T59" s="2"/>
    </row>
    <row r="60" spans="1:20" ht="15" thickBot="1">
      <c r="A60" s="3"/>
      <c r="B60" s="725"/>
      <c r="C60" s="684" t="s">
        <v>190</v>
      </c>
      <c r="D60" s="333" t="s">
        <v>191</v>
      </c>
      <c r="E60" s="333" t="s">
        <v>192</v>
      </c>
      <c r="F60" s="3"/>
      <c r="G60" s="3"/>
      <c r="H60" s="3"/>
      <c r="L60" s="2"/>
      <c r="M60" s="2"/>
      <c r="N60" s="2"/>
      <c r="O60" s="2"/>
      <c r="P60" s="2"/>
      <c r="Q60" s="2"/>
      <c r="R60" s="2"/>
      <c r="S60" s="2"/>
      <c r="T60" s="2"/>
    </row>
    <row r="61" spans="1:20">
      <c r="A61" s="3"/>
      <c r="B61" s="48" t="s">
        <v>64</v>
      </c>
      <c r="C61" s="683">
        <f>'NZ nat data'!C35-C62</f>
        <v>1485234</v>
      </c>
      <c r="D61" s="335">
        <f>Results!P12+Results!P21</f>
        <v>0</v>
      </c>
      <c r="E61" s="335">
        <f>Results!S12+Results!S21</f>
        <v>0</v>
      </c>
      <c r="F61" s="358" t="s">
        <v>193</v>
      </c>
      <c r="G61" s="3"/>
      <c r="H61" s="3"/>
      <c r="L61" s="2"/>
      <c r="M61" s="2"/>
      <c r="N61" s="2"/>
      <c r="O61" s="2"/>
      <c r="P61" s="2"/>
      <c r="Q61" s="2"/>
      <c r="R61" s="2"/>
      <c r="S61" s="2"/>
      <c r="T61" s="2"/>
    </row>
    <row r="62" spans="1:20">
      <c r="A62" s="3"/>
      <c r="B62" s="48" t="s">
        <v>65</v>
      </c>
      <c r="C62" s="683">
        <f>'NZ nat data'!C65</f>
        <v>360099</v>
      </c>
      <c r="D62" s="335">
        <f>Results!P13+Results!P22</f>
        <v>3308.4696956748621</v>
      </c>
      <c r="E62" s="335">
        <f>Results!S13+Results!S22</f>
        <v>0</v>
      </c>
      <c r="F62" s="3"/>
      <c r="G62" s="3"/>
      <c r="H62" s="3"/>
      <c r="L62" s="2"/>
      <c r="M62" s="2"/>
      <c r="N62" s="2"/>
      <c r="O62" s="2"/>
      <c r="P62" s="2"/>
      <c r="Q62" s="2"/>
      <c r="R62" s="2"/>
      <c r="S62" s="2"/>
      <c r="T62" s="2"/>
    </row>
    <row r="63" spans="1:20">
      <c r="A63" s="3"/>
      <c r="B63" s="48" t="s">
        <v>66</v>
      </c>
      <c r="C63" s="683">
        <f>'NZ nat data'!C66</f>
        <v>1973.0777142229585</v>
      </c>
      <c r="D63" s="335">
        <f>Results!P14+Results!P23</f>
        <v>105.36483050241981</v>
      </c>
      <c r="E63" s="335">
        <f>Results!S14+Results!S23</f>
        <v>52.781067425485482</v>
      </c>
      <c r="F63" s="3"/>
      <c r="G63" s="3"/>
      <c r="H63" s="3"/>
      <c r="L63" s="2"/>
      <c r="M63" s="2"/>
      <c r="N63" s="2"/>
      <c r="O63" s="2"/>
      <c r="P63" s="2"/>
      <c r="Q63" s="2"/>
      <c r="R63" s="2"/>
      <c r="S63" s="2"/>
      <c r="T63" s="2"/>
    </row>
    <row r="64" spans="1:20">
      <c r="A64" s="3"/>
      <c r="B64" s="48" t="s">
        <v>169</v>
      </c>
      <c r="C64" s="683">
        <f>'NZ nat data'!C67</f>
        <v>101236.28659302443</v>
      </c>
      <c r="D64" s="335">
        <f>Results!P15+Results!P24</f>
        <v>777.34898220781133</v>
      </c>
      <c r="E64" s="335">
        <f>Results!S15+Results!S24</f>
        <v>1717.8101524456024</v>
      </c>
      <c r="F64" s="3"/>
      <c r="G64" s="3"/>
      <c r="H64" s="3"/>
      <c r="L64" s="2"/>
      <c r="M64" s="2"/>
      <c r="N64" s="2"/>
      <c r="O64" s="2"/>
      <c r="P64" s="2"/>
      <c r="Q64" s="2"/>
      <c r="R64" s="2"/>
      <c r="S64" s="2"/>
      <c r="T64" s="2"/>
    </row>
    <row r="65" spans="1:20">
      <c r="A65" s="3"/>
      <c r="B65" s="48" t="s">
        <v>68</v>
      </c>
      <c r="C65" s="683">
        <f>'NZ nat data'!C68</f>
        <v>369512.44606453914</v>
      </c>
      <c r="D65" s="335">
        <f>Results!P16+Results!P25</f>
        <v>673.4553486918785</v>
      </c>
      <c r="E65" s="335">
        <f>Results!S16+Results!S25</f>
        <v>4560.0051319465092</v>
      </c>
      <c r="G65" s="3"/>
      <c r="H65" s="3"/>
      <c r="L65" s="2"/>
      <c r="M65" s="2"/>
      <c r="N65" s="2"/>
      <c r="O65" s="2"/>
      <c r="P65" s="2"/>
      <c r="Q65" s="2"/>
      <c r="R65" s="2"/>
      <c r="S65" s="2"/>
      <c r="T65" s="2"/>
    </row>
    <row r="66" spans="1:20">
      <c r="A66" s="3"/>
      <c r="B66" s="48" t="s">
        <v>170</v>
      </c>
      <c r="C66" s="683">
        <f>'NZ nat data'!C69</f>
        <v>35432.700307558553</v>
      </c>
      <c r="D66" s="335">
        <f>Results!P17+Results!P26</f>
        <v>64.57791014853629</v>
      </c>
      <c r="E66" s="335">
        <f>Results!S17+Results!S26</f>
        <v>112.69607373120166</v>
      </c>
      <c r="F66" s="3"/>
      <c r="G66" s="3"/>
      <c r="H66" s="3"/>
      <c r="L66" s="2"/>
      <c r="M66" s="2"/>
      <c r="N66" s="2"/>
      <c r="O66" s="2"/>
      <c r="P66" s="2"/>
      <c r="Q66" s="2"/>
      <c r="R66" s="2"/>
      <c r="S66" s="2"/>
      <c r="T66" s="2"/>
    </row>
    <row r="67" spans="1:20">
      <c r="A67" s="3"/>
      <c r="B67" s="48" t="s">
        <v>70</v>
      </c>
      <c r="C67" s="683">
        <f>'NZ nat data'!C70</f>
        <v>15531.831390996367</v>
      </c>
      <c r="D67" s="335">
        <f>Results!P18+Results!P27</f>
        <v>9.4689825705472632</v>
      </c>
      <c r="E67" s="335">
        <f>Results!S18+Results!S27</f>
        <v>40.893930756626659</v>
      </c>
      <c r="H67" s="3"/>
      <c r="L67" s="2"/>
      <c r="M67" s="2"/>
      <c r="N67" s="2"/>
      <c r="O67" s="2"/>
      <c r="P67" s="2"/>
      <c r="Q67" s="2"/>
      <c r="R67" s="2"/>
      <c r="S67" s="2"/>
      <c r="T67" s="2"/>
    </row>
    <row r="68" spans="1:20" ht="15" thickBot="1">
      <c r="A68" s="3"/>
      <c r="B68" s="336" t="s">
        <v>71</v>
      </c>
      <c r="C68" s="682">
        <f>'NZ nat data'!C71</f>
        <v>44645.397397201348</v>
      </c>
      <c r="D68" s="338">
        <f>Results!P19+Results!P28</f>
        <v>912.35198219632855</v>
      </c>
      <c r="E68" s="338">
        <f>Results!S19+Results!S28</f>
        <v>0</v>
      </c>
      <c r="F68" s="3"/>
      <c r="G68" s="3"/>
      <c r="H68" s="3"/>
      <c r="L68" s="2"/>
      <c r="M68" s="2"/>
      <c r="N68" s="2"/>
      <c r="O68" s="2"/>
      <c r="P68" s="2"/>
      <c r="Q68" s="2"/>
      <c r="R68" s="2"/>
      <c r="S68" s="2"/>
      <c r="T68" s="2"/>
    </row>
    <row r="69" spans="1:20" ht="15" thickBot="1">
      <c r="A69" s="3"/>
      <c r="B69" s="677" t="s">
        <v>194</v>
      </c>
      <c r="C69" s="677"/>
      <c r="D69" s="338">
        <f>SUM(D61:D68)</f>
        <v>5851.0377319923828</v>
      </c>
      <c r="E69" s="338">
        <f>SUM(E61:E68)</f>
        <v>6484.1863563054258</v>
      </c>
      <c r="F69" s="3"/>
      <c r="G69" s="3"/>
      <c r="H69" s="3"/>
      <c r="L69" s="2"/>
      <c r="M69" s="2"/>
      <c r="N69" s="2"/>
      <c r="O69" s="2"/>
      <c r="P69" s="2"/>
      <c r="Q69" s="2"/>
      <c r="R69" s="2"/>
      <c r="S69" s="2"/>
      <c r="T69" s="2"/>
    </row>
    <row r="70" spans="1:20">
      <c r="A70" s="3"/>
      <c r="B70" s="480"/>
      <c r="C70" s="699"/>
      <c r="D70" s="700"/>
      <c r="E70" s="700"/>
      <c r="F70" s="3"/>
      <c r="G70" s="3"/>
      <c r="H70" s="3"/>
      <c r="L70" s="2"/>
      <c r="M70" s="2"/>
      <c r="N70" s="2"/>
      <c r="O70" s="2"/>
      <c r="P70" s="2"/>
      <c r="Q70" s="2"/>
      <c r="R70" s="2"/>
      <c r="S70" s="2"/>
      <c r="T70" s="2"/>
    </row>
    <row r="71" spans="1:20">
      <c r="A71" s="3"/>
      <c r="B71" s="3"/>
      <c r="C71" s="3"/>
      <c r="D71" s="3"/>
      <c r="E71" s="3"/>
      <c r="F71" s="3"/>
      <c r="G71" s="3"/>
      <c r="H71" s="3"/>
      <c r="L71" s="2"/>
      <c r="M71" s="2"/>
      <c r="N71" s="2"/>
      <c r="O71" s="2"/>
      <c r="P71" s="2"/>
      <c r="Q71" s="2"/>
      <c r="R71" s="2"/>
      <c r="S71" s="2"/>
      <c r="T71" s="2"/>
    </row>
    <row r="72" spans="1:20" ht="15" thickBot="1">
      <c r="A72" s="2"/>
      <c r="B72" s="348" t="s">
        <v>195</v>
      </c>
      <c r="C72" s="348"/>
      <c r="D72" s="348"/>
      <c r="E72" s="348"/>
      <c r="G72" s="2"/>
      <c r="H72" s="2"/>
      <c r="O72" s="2"/>
      <c r="P72" s="2"/>
      <c r="Q72" s="2"/>
      <c r="R72" s="2"/>
      <c r="S72" s="2"/>
      <c r="T72" s="2"/>
    </row>
    <row r="73" spans="1:20">
      <c r="A73" s="2"/>
      <c r="B73" s="724" t="s">
        <v>131</v>
      </c>
      <c r="C73" s="726" t="s">
        <v>196</v>
      </c>
      <c r="D73" s="726"/>
      <c r="E73" s="726"/>
      <c r="F73" s="726" t="s">
        <v>197</v>
      </c>
      <c r="G73" s="726"/>
      <c r="H73" s="2"/>
      <c r="O73" s="2"/>
      <c r="P73" s="2"/>
      <c r="Q73" s="2"/>
      <c r="R73" s="2"/>
      <c r="S73" s="2"/>
      <c r="T73" s="2"/>
    </row>
    <row r="74" spans="1:20" ht="15" thickBot="1">
      <c r="A74" s="2"/>
      <c r="B74" s="725"/>
      <c r="C74" s="333" t="s">
        <v>198</v>
      </c>
      <c r="D74" s="332" t="s">
        <v>105</v>
      </c>
      <c r="E74" s="332" t="s">
        <v>106</v>
      </c>
      <c r="F74" s="332" t="s">
        <v>105</v>
      </c>
      <c r="G74" s="332" t="s">
        <v>106</v>
      </c>
      <c r="H74" s="358" t="s">
        <v>199</v>
      </c>
      <c r="O74" s="2"/>
      <c r="P74" s="2"/>
      <c r="Q74" s="2"/>
      <c r="R74" s="2"/>
      <c r="S74" s="2"/>
      <c r="T74" s="2"/>
    </row>
    <row r="75" spans="1:20">
      <c r="A75" s="2"/>
      <c r="B75" s="48" t="s">
        <v>64</v>
      </c>
      <c r="C75" s="335">
        <f t="shared" ref="C75:C82" si="7">E10</f>
        <v>0</v>
      </c>
      <c r="D75" s="334">
        <v>0</v>
      </c>
      <c r="E75" s="334">
        <v>0</v>
      </c>
      <c r="F75" s="177" t="s">
        <v>154</v>
      </c>
      <c r="G75" s="177" t="s">
        <v>154</v>
      </c>
      <c r="H75" s="238"/>
      <c r="I75" s="238"/>
      <c r="J75" s="238"/>
      <c r="K75" s="238"/>
      <c r="O75" s="2"/>
      <c r="P75" s="2"/>
      <c r="Q75" s="2"/>
      <c r="R75" s="2"/>
      <c r="S75" s="2"/>
      <c r="T75" s="2"/>
    </row>
    <row r="76" spans="1:20">
      <c r="A76" s="2"/>
      <c r="B76" s="48" t="s">
        <v>65</v>
      </c>
      <c r="C76" s="335">
        <f t="shared" si="7"/>
        <v>9187.6669906744028</v>
      </c>
      <c r="D76" s="334">
        <v>982.5270260094386</v>
      </c>
      <c r="E76" s="334">
        <v>22747.592876886316</v>
      </c>
      <c r="F76" s="345">
        <f>D76/C76</f>
        <v>0.10693977339478192</v>
      </c>
      <c r="G76" s="345">
        <f>E76/C76</f>
        <v>2.4758834750949732</v>
      </c>
      <c r="H76" s="238"/>
      <c r="I76" s="238"/>
      <c r="J76" s="238"/>
      <c r="K76" s="238"/>
      <c r="O76" s="2"/>
      <c r="P76" s="2"/>
      <c r="Q76" s="2"/>
      <c r="R76" s="2"/>
      <c r="S76" s="2"/>
      <c r="T76" s="2"/>
    </row>
    <row r="77" spans="1:20">
      <c r="A77" s="2"/>
      <c r="B77" s="48" t="s">
        <v>66</v>
      </c>
      <c r="C77" s="335">
        <f t="shared" si="7"/>
        <v>53401.257204871319</v>
      </c>
      <c r="D77" s="334">
        <v>19980.220155228966</v>
      </c>
      <c r="E77" s="334">
        <v>93105.653657749877</v>
      </c>
      <c r="F77" s="345">
        <f t="shared" ref="F77:F82" si="8">D77/C77</f>
        <v>0.37415261739205552</v>
      </c>
      <c r="G77" s="345">
        <f t="shared" ref="G77:G82" si="9">E77/C77</f>
        <v>1.7435105188732651</v>
      </c>
      <c r="H77" s="238"/>
      <c r="I77" s="238"/>
      <c r="J77" s="238"/>
      <c r="K77" s="238"/>
      <c r="O77" s="2"/>
      <c r="P77" s="2"/>
      <c r="Q77" s="2"/>
      <c r="R77" s="2"/>
      <c r="S77" s="2"/>
      <c r="T77" s="2"/>
    </row>
    <row r="78" spans="1:20">
      <c r="A78" s="2"/>
      <c r="B78" s="48" t="s">
        <v>169</v>
      </c>
      <c r="C78" s="335">
        <f t="shared" si="7"/>
        <v>7678.5608043171123</v>
      </c>
      <c r="D78" s="334">
        <v>2642.9266776587147</v>
      </c>
      <c r="E78" s="334">
        <v>16373.793530793766</v>
      </c>
      <c r="F78" s="345">
        <f t="shared" si="8"/>
        <v>0.34419557844391668</v>
      </c>
      <c r="G78" s="345">
        <f t="shared" si="9"/>
        <v>2.1324039684087595</v>
      </c>
      <c r="H78" s="238"/>
      <c r="I78" s="238"/>
      <c r="J78" s="238"/>
      <c r="K78" s="238"/>
      <c r="O78" s="2"/>
      <c r="P78" s="2"/>
      <c r="Q78" s="2"/>
      <c r="R78" s="2"/>
      <c r="S78" s="2"/>
      <c r="T78" s="2"/>
    </row>
    <row r="79" spans="1:20">
      <c r="A79" s="2"/>
      <c r="B79" s="48" t="s">
        <v>68</v>
      </c>
      <c r="C79" s="335">
        <f t="shared" si="7"/>
        <v>1822.5511910747723</v>
      </c>
      <c r="D79" s="334">
        <v>574.2986968811224</v>
      </c>
      <c r="E79" s="334">
        <v>3483.2435077663895</v>
      </c>
      <c r="F79" s="345">
        <f t="shared" si="8"/>
        <v>0.31510703221589847</v>
      </c>
      <c r="G79" s="345">
        <f t="shared" si="9"/>
        <v>1.9111910407917236</v>
      </c>
      <c r="H79" s="238"/>
      <c r="I79" s="238"/>
      <c r="J79" s="238"/>
      <c r="K79" s="238"/>
      <c r="O79" s="2"/>
      <c r="P79" s="2"/>
      <c r="Q79" s="2"/>
      <c r="R79" s="2"/>
      <c r="S79" s="2"/>
      <c r="T79" s="2"/>
    </row>
    <row r="80" spans="1:20">
      <c r="A80" s="2"/>
      <c r="B80" s="48" t="s">
        <v>170</v>
      </c>
      <c r="C80" s="335">
        <f t="shared" si="7"/>
        <v>1822.5511910747723</v>
      </c>
      <c r="D80" s="334">
        <v>574.2986968811224</v>
      </c>
      <c r="E80" s="334">
        <v>3483.2435077663895</v>
      </c>
      <c r="F80" s="345">
        <f t="shared" si="8"/>
        <v>0.31510703221589847</v>
      </c>
      <c r="G80" s="345">
        <f t="shared" si="9"/>
        <v>1.9111910407917236</v>
      </c>
      <c r="H80" s="238"/>
      <c r="I80" s="238"/>
      <c r="J80" s="238"/>
      <c r="K80" s="238"/>
      <c r="O80" s="2"/>
      <c r="P80" s="2"/>
      <c r="Q80" s="2"/>
      <c r="R80" s="2"/>
      <c r="S80" s="2"/>
      <c r="T80" s="2"/>
    </row>
    <row r="81" spans="1:20">
      <c r="A81" s="2"/>
      <c r="B81" s="48" t="s">
        <v>70</v>
      </c>
      <c r="C81" s="335">
        <f t="shared" si="7"/>
        <v>609.65010063374291</v>
      </c>
      <c r="D81" s="334">
        <v>191.64419882012723</v>
      </c>
      <c r="E81" s="334">
        <v>1168.8967420828749</v>
      </c>
      <c r="F81" s="345">
        <f t="shared" si="8"/>
        <v>0.3143511312815489</v>
      </c>
      <c r="G81" s="345">
        <f t="shared" si="9"/>
        <v>1.9173239549501992</v>
      </c>
      <c r="H81" s="238"/>
      <c r="I81" s="238"/>
      <c r="J81" s="238"/>
      <c r="K81" s="238"/>
      <c r="O81" s="2"/>
      <c r="P81" s="2"/>
      <c r="Q81" s="2"/>
      <c r="R81" s="2"/>
      <c r="S81" s="2"/>
      <c r="T81" s="2"/>
    </row>
    <row r="82" spans="1:20" ht="15" thickBot="1">
      <c r="A82" s="2"/>
      <c r="B82" s="336" t="s">
        <v>71</v>
      </c>
      <c r="C82" s="338">
        <f t="shared" si="7"/>
        <v>20435.521585334136</v>
      </c>
      <c r="D82" s="337">
        <v>13986.619408602852</v>
      </c>
      <c r="E82" s="337">
        <v>29712.651125291461</v>
      </c>
      <c r="F82" s="343">
        <f t="shared" si="8"/>
        <v>0.68442683736736931</v>
      </c>
      <c r="G82" s="343">
        <f t="shared" si="9"/>
        <v>1.4539707734504412</v>
      </c>
      <c r="H82" s="238"/>
      <c r="I82" s="238"/>
      <c r="J82" s="238"/>
      <c r="K82" s="238"/>
      <c r="O82" s="2"/>
      <c r="P82" s="2"/>
      <c r="Q82" s="2"/>
      <c r="R82" s="2"/>
      <c r="S82" s="2"/>
      <c r="T82" s="2"/>
    </row>
    <row r="83" spans="1:20">
      <c r="A83" s="2"/>
      <c r="B83" s="3"/>
      <c r="C83" s="3"/>
      <c r="D83" s="3"/>
      <c r="E83" s="3"/>
      <c r="F83" s="2"/>
      <c r="G83" s="2"/>
      <c r="H83" s="2"/>
      <c r="O83" s="2"/>
      <c r="P83" s="2"/>
      <c r="Q83" s="2"/>
      <c r="R83" s="2"/>
      <c r="S83" s="2"/>
      <c r="T83" s="2"/>
    </row>
    <row r="84" spans="1:20" ht="15" thickBot="1">
      <c r="A84" s="2"/>
      <c r="B84" s="348" t="s">
        <v>200</v>
      </c>
      <c r="C84" s="348"/>
      <c r="D84" s="348"/>
      <c r="E84" s="348"/>
      <c r="G84" s="2"/>
      <c r="H84" s="2"/>
      <c r="I84" s="257"/>
      <c r="J84" s="257"/>
      <c r="K84" s="118"/>
      <c r="L84" s="118"/>
      <c r="M84" s="118"/>
      <c r="N84" s="2"/>
      <c r="O84" s="2"/>
      <c r="P84" s="2"/>
      <c r="Q84" s="2"/>
      <c r="R84" s="2"/>
      <c r="S84" s="2"/>
      <c r="T84" s="2"/>
    </row>
    <row r="85" spans="1:20">
      <c r="A85" s="2"/>
      <c r="B85" s="724" t="s">
        <v>131</v>
      </c>
      <c r="C85" s="726" t="s">
        <v>196</v>
      </c>
      <c r="D85" s="726"/>
      <c r="E85" s="726"/>
      <c r="F85" s="726" t="s">
        <v>197</v>
      </c>
      <c r="G85" s="726"/>
      <c r="H85" s="2"/>
      <c r="I85" s="114"/>
      <c r="J85" s="114"/>
      <c r="K85" s="253"/>
      <c r="L85" s="252"/>
      <c r="M85" s="151"/>
      <c r="N85" s="2"/>
      <c r="O85" s="2"/>
      <c r="P85" s="2"/>
      <c r="Q85" s="2"/>
      <c r="R85" s="2"/>
      <c r="S85" s="2"/>
      <c r="T85" s="2"/>
    </row>
    <row r="86" spans="1:20" ht="15" thickBot="1">
      <c r="A86" s="2"/>
      <c r="B86" s="725"/>
      <c r="C86" s="333" t="s">
        <v>198</v>
      </c>
      <c r="D86" s="332" t="s">
        <v>105</v>
      </c>
      <c r="E86" s="332" t="s">
        <v>106</v>
      </c>
      <c r="F86" s="332" t="s">
        <v>105</v>
      </c>
      <c r="G86" s="332" t="s">
        <v>106</v>
      </c>
      <c r="H86" s="358" t="s">
        <v>199</v>
      </c>
      <c r="I86" s="114"/>
      <c r="J86" s="114"/>
      <c r="K86" s="255"/>
      <c r="L86" s="256"/>
      <c r="M86" s="258"/>
      <c r="N86" s="2"/>
      <c r="O86" s="2"/>
      <c r="P86" s="2"/>
      <c r="Q86" s="2"/>
      <c r="R86" s="2"/>
      <c r="S86" s="2"/>
      <c r="T86" s="2"/>
    </row>
    <row r="87" spans="1:20">
      <c r="A87" s="2"/>
      <c r="B87" s="48" t="s">
        <v>64</v>
      </c>
      <c r="C87" s="335">
        <f t="shared" ref="C87:C94" si="10">E10</f>
        <v>0</v>
      </c>
      <c r="D87" s="334">
        <v>0</v>
      </c>
      <c r="E87" s="334">
        <v>0</v>
      </c>
      <c r="F87" s="177" t="s">
        <v>154</v>
      </c>
      <c r="G87" s="177" t="s">
        <v>154</v>
      </c>
      <c r="H87" s="238"/>
      <c r="I87" s="238"/>
      <c r="J87" s="238"/>
      <c r="K87" s="238"/>
      <c r="L87" s="254"/>
      <c r="M87" s="151"/>
      <c r="N87" s="2"/>
      <c r="O87" s="2"/>
      <c r="P87" s="2"/>
      <c r="Q87" s="2"/>
      <c r="R87" s="2"/>
      <c r="S87" s="2"/>
      <c r="T87" s="2"/>
    </row>
    <row r="88" spans="1:20">
      <c r="A88" s="2"/>
      <c r="B88" s="48" t="s">
        <v>65</v>
      </c>
      <c r="C88" s="335">
        <f t="shared" si="10"/>
        <v>9187.6669906744028</v>
      </c>
      <c r="D88" s="334">
        <v>4560.9808426973823</v>
      </c>
      <c r="E88" s="334">
        <v>18373.445246862782</v>
      </c>
      <c r="F88" s="345">
        <f>D88/C88</f>
        <v>0.49642426606524104</v>
      </c>
      <c r="G88" s="345">
        <f>E88/C88</f>
        <v>1.9997944271937653</v>
      </c>
      <c r="H88" s="238"/>
      <c r="I88" s="238"/>
      <c r="J88" s="238"/>
      <c r="K88" s="238"/>
      <c r="L88" s="254"/>
      <c r="M88" s="151"/>
      <c r="N88" s="2"/>
      <c r="O88" s="2"/>
      <c r="P88" s="2"/>
      <c r="Q88" s="2"/>
      <c r="R88" s="2"/>
      <c r="S88" s="2"/>
      <c r="T88" s="2"/>
    </row>
    <row r="89" spans="1:20">
      <c r="A89" s="2"/>
      <c r="B89" s="48" t="s">
        <v>66</v>
      </c>
      <c r="C89" s="335">
        <f t="shared" si="10"/>
        <v>53401.257204871319</v>
      </c>
      <c r="D89" s="334">
        <v>26328.087737121277</v>
      </c>
      <c r="E89" s="334">
        <v>106802.51440974264</v>
      </c>
      <c r="F89" s="345">
        <f t="shared" ref="F89:F94" si="11">D89/C89</f>
        <v>0.49302374354436734</v>
      </c>
      <c r="G89" s="345">
        <f t="shared" ref="G89:G94" si="12">E89/C89</f>
        <v>2</v>
      </c>
      <c r="H89" s="238"/>
      <c r="I89" s="238"/>
      <c r="J89" s="238"/>
      <c r="K89" s="238"/>
      <c r="L89" s="254"/>
      <c r="M89" s="151"/>
      <c r="N89" s="2"/>
      <c r="O89" s="2"/>
      <c r="P89" s="2"/>
      <c r="Q89" s="2"/>
      <c r="R89" s="2"/>
      <c r="S89" s="2"/>
      <c r="T89" s="2"/>
    </row>
    <row r="90" spans="1:20">
      <c r="B90" s="48" t="s">
        <v>169</v>
      </c>
      <c r="C90" s="335">
        <f t="shared" si="10"/>
        <v>7678.5608043171123</v>
      </c>
      <c r="D90" s="334">
        <v>3789.7093232304355</v>
      </c>
      <c r="E90" s="334">
        <v>15357.121608634225</v>
      </c>
      <c r="F90" s="345">
        <f t="shared" si="11"/>
        <v>0.49354422264908676</v>
      </c>
      <c r="G90" s="345">
        <f t="shared" si="12"/>
        <v>2</v>
      </c>
      <c r="H90" s="238"/>
      <c r="I90" s="238"/>
      <c r="J90" s="238"/>
      <c r="K90" s="238"/>
      <c r="L90" s="254"/>
      <c r="M90" s="151"/>
    </row>
    <row r="91" spans="1:20">
      <c r="B91" s="48" t="s">
        <v>68</v>
      </c>
      <c r="C91" s="335">
        <f t="shared" si="10"/>
        <v>1822.5511910747723</v>
      </c>
      <c r="D91" s="334">
        <v>899.61370862594379</v>
      </c>
      <c r="E91" s="334">
        <v>3645.1023821495446</v>
      </c>
      <c r="F91" s="345">
        <f t="shared" si="11"/>
        <v>0.49360133917304938</v>
      </c>
      <c r="G91" s="345">
        <f t="shared" si="12"/>
        <v>2</v>
      </c>
      <c r="H91" s="238"/>
      <c r="I91" s="238"/>
      <c r="J91" s="238"/>
      <c r="K91" s="238"/>
      <c r="L91" s="254"/>
      <c r="M91" s="151"/>
    </row>
    <row r="92" spans="1:20">
      <c r="B92" s="48" t="s">
        <v>170</v>
      </c>
      <c r="C92" s="335">
        <f t="shared" si="10"/>
        <v>1822.5511910747723</v>
      </c>
      <c r="D92" s="334">
        <v>899.61370862594379</v>
      </c>
      <c r="E92" s="334">
        <v>3645.1023821495446</v>
      </c>
      <c r="F92" s="345">
        <f t="shared" si="11"/>
        <v>0.49360133917304938</v>
      </c>
      <c r="G92" s="345">
        <f t="shared" si="12"/>
        <v>2</v>
      </c>
      <c r="H92" s="238"/>
      <c r="I92" s="238"/>
      <c r="J92" s="238"/>
      <c r="K92" s="238"/>
      <c r="L92" s="256"/>
      <c r="M92" s="114"/>
    </row>
    <row r="93" spans="1:20">
      <c r="B93" s="48" t="s">
        <v>70</v>
      </c>
      <c r="C93" s="335">
        <f t="shared" si="10"/>
        <v>609.65010063374291</v>
      </c>
      <c r="D93" s="334">
        <v>300.93117670841099</v>
      </c>
      <c r="E93" s="334">
        <v>1219.3002012674858</v>
      </c>
      <c r="F93" s="345">
        <f t="shared" si="11"/>
        <v>0.49361293698727726</v>
      </c>
      <c r="G93" s="345">
        <f t="shared" si="12"/>
        <v>2</v>
      </c>
      <c r="H93" s="238"/>
      <c r="I93" s="238"/>
      <c r="J93" s="238"/>
      <c r="K93" s="238"/>
    </row>
    <row r="94" spans="1:20" ht="15" thickBot="1">
      <c r="B94" s="336" t="s">
        <v>71</v>
      </c>
      <c r="C94" s="338">
        <f t="shared" si="10"/>
        <v>20435.521585334136</v>
      </c>
      <c r="D94" s="337">
        <v>10144.958577171883</v>
      </c>
      <c r="E94" s="337">
        <v>40866.957009792393</v>
      </c>
      <c r="F94" s="343">
        <f t="shared" si="11"/>
        <v>0.49643746722141741</v>
      </c>
      <c r="G94" s="343">
        <f t="shared" si="12"/>
        <v>1.9998000461667291</v>
      </c>
      <c r="H94" s="238"/>
      <c r="I94" s="238"/>
      <c r="J94" s="238"/>
      <c r="K94" s="238"/>
    </row>
    <row r="96" spans="1:20">
      <c r="B96" s="349"/>
      <c r="C96" s="349"/>
      <c r="D96" s="349"/>
      <c r="E96" s="349"/>
    </row>
    <row r="97" spans="2:7">
      <c r="B97" s="722"/>
      <c r="C97" s="723"/>
      <c r="D97" s="723"/>
      <c r="E97" s="723"/>
      <c r="F97" s="723"/>
      <c r="G97" s="723"/>
    </row>
    <row r="98" spans="2:7">
      <c r="B98" s="722"/>
      <c r="C98" s="350"/>
      <c r="D98" s="351"/>
      <c r="E98" s="351"/>
      <c r="F98" s="351"/>
      <c r="G98" s="351"/>
    </row>
    <row r="99" spans="2:7">
      <c r="B99" s="48"/>
      <c r="C99" s="335"/>
      <c r="D99" s="334"/>
      <c r="E99" s="334"/>
      <c r="F99" s="177"/>
      <c r="G99" s="177"/>
    </row>
    <row r="100" spans="2:7">
      <c r="B100" s="48"/>
      <c r="C100" s="335"/>
      <c r="D100" s="334"/>
      <c r="E100" s="334"/>
      <c r="F100" s="352"/>
      <c r="G100" s="352"/>
    </row>
    <row r="101" spans="2:7">
      <c r="B101" s="48"/>
      <c r="C101" s="335"/>
      <c r="D101" s="334"/>
      <c r="E101" s="334"/>
      <c r="F101" s="352"/>
      <c r="G101" s="352"/>
    </row>
    <row r="102" spans="2:7">
      <c r="B102" s="48"/>
      <c r="C102" s="335"/>
      <c r="D102" s="334"/>
      <c r="E102" s="334"/>
      <c r="F102" s="352"/>
      <c r="G102" s="352"/>
    </row>
    <row r="103" spans="2:7">
      <c r="B103" s="48"/>
      <c r="C103" s="335"/>
      <c r="D103" s="334"/>
      <c r="E103" s="334"/>
      <c r="F103" s="352"/>
      <c r="G103" s="352"/>
    </row>
    <row r="104" spans="2:7">
      <c r="B104" s="48"/>
      <c r="C104" s="335"/>
      <c r="D104" s="334"/>
      <c r="E104" s="334"/>
      <c r="F104" s="352"/>
      <c r="G104" s="352"/>
    </row>
    <row r="105" spans="2:7">
      <c r="B105" s="48"/>
      <c r="C105" s="335"/>
      <c r="D105" s="334"/>
      <c r="E105" s="334"/>
      <c r="F105" s="352"/>
      <c r="G105" s="352"/>
    </row>
    <row r="106" spans="2:7">
      <c r="B106" s="48"/>
      <c r="C106" s="335"/>
      <c r="D106" s="334"/>
      <c r="E106" s="334"/>
      <c r="F106" s="177"/>
      <c r="G106" s="177"/>
    </row>
  </sheetData>
  <mergeCells count="17">
    <mergeCell ref="F73:G73"/>
    <mergeCell ref="B47:B48"/>
    <mergeCell ref="B34:B35"/>
    <mergeCell ref="C34:E34"/>
    <mergeCell ref="B73:B74"/>
    <mergeCell ref="C73:E73"/>
    <mergeCell ref="B8:B9"/>
    <mergeCell ref="C8:E8"/>
    <mergeCell ref="B21:B22"/>
    <mergeCell ref="C21:E21"/>
    <mergeCell ref="B59:B60"/>
    <mergeCell ref="B97:B98"/>
    <mergeCell ref="C97:E97"/>
    <mergeCell ref="F97:G97"/>
    <mergeCell ref="B85:B86"/>
    <mergeCell ref="C85:E85"/>
    <mergeCell ref="F85:G85"/>
  </mergeCells>
  <hyperlinks>
    <hyperlink ref="A4" location="Contents!A1" display="Back to Contents" xr:uid="{84AA612D-AB97-46EC-92D0-A28A1C045D9E}"/>
  </hyperlinks>
  <pageMargins left="0.23622047244094488" right="0.23622047244094488" top="0.15748031496062992" bottom="0.15748031496062992" header="0.31496062992125984" footer="0.31496062992125984"/>
  <pageSetup paperSize="9" scale="57"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1A65-6393-4D9C-B0FE-F526C549C39E}">
  <sheetPr>
    <tabColor theme="7" tint="-0.249977111117893"/>
  </sheetPr>
  <dimension ref="A1:H63"/>
  <sheetViews>
    <sheetView topLeftCell="A33" workbookViewId="0">
      <selection activeCell="D27" sqref="D27"/>
    </sheetView>
  </sheetViews>
  <sheetFormatPr defaultRowHeight="14.45"/>
  <cols>
    <col min="2" max="2" width="66.42578125" bestFit="1" customWidth="1"/>
    <col min="3" max="3" width="10.85546875" customWidth="1"/>
    <col min="4" max="4" width="17.5703125" customWidth="1"/>
    <col min="5" max="5" width="9.42578125" customWidth="1"/>
    <col min="6" max="6" width="10.42578125" customWidth="1"/>
    <col min="7" max="7" width="37.85546875" bestFit="1" customWidth="1"/>
    <col min="8" max="8" width="27.85546875" customWidth="1"/>
  </cols>
  <sheetData>
    <row r="1" spans="1:8" ht="18.600000000000001">
      <c r="A1" s="160" t="s">
        <v>201</v>
      </c>
      <c r="B1" s="160"/>
      <c r="C1" s="153"/>
      <c r="D1" s="161"/>
      <c r="E1" s="161"/>
      <c r="F1" s="161"/>
      <c r="G1" s="161"/>
      <c r="H1" s="161"/>
    </row>
    <row r="2" spans="1:8">
      <c r="A2" s="4" t="s">
        <v>202</v>
      </c>
    </row>
    <row r="3" spans="1:8">
      <c r="A3" s="437" t="s">
        <v>203</v>
      </c>
    </row>
    <row r="4" spans="1:8">
      <c r="A4" s="380" t="s">
        <v>59</v>
      </c>
    </row>
    <row r="5" spans="1:8">
      <c r="A5" s="38"/>
    </row>
    <row r="7" spans="1:8">
      <c r="B7" s="79" t="s">
        <v>99</v>
      </c>
      <c r="C7" s="727" t="s">
        <v>204</v>
      </c>
      <c r="D7" s="728"/>
      <c r="E7" s="728"/>
      <c r="F7" s="728"/>
      <c r="G7" s="728"/>
      <c r="H7" s="728"/>
    </row>
    <row r="8" spans="1:8">
      <c r="B8" s="12" t="s">
        <v>101</v>
      </c>
      <c r="C8" s="13" t="s">
        <v>102</v>
      </c>
      <c r="D8" s="81" t="s">
        <v>104</v>
      </c>
      <c r="E8" s="51" t="s">
        <v>105</v>
      </c>
      <c r="F8" s="51" t="s">
        <v>106</v>
      </c>
      <c r="G8" s="64" t="s">
        <v>205</v>
      </c>
      <c r="H8" s="64" t="s">
        <v>206</v>
      </c>
    </row>
    <row r="9" spans="1:8" ht="15">
      <c r="B9" s="15" t="s">
        <v>107</v>
      </c>
      <c r="C9" s="27"/>
      <c r="D9" s="28"/>
      <c r="E9" s="17"/>
      <c r="F9" s="17"/>
      <c r="G9" s="17"/>
      <c r="H9" s="17"/>
    </row>
    <row r="10" spans="1:8">
      <c r="B10" s="18" t="s">
        <v>108</v>
      </c>
      <c r="C10" s="30"/>
      <c r="D10" s="24"/>
      <c r="E10" s="20"/>
      <c r="F10" s="20"/>
      <c r="G10" s="20"/>
      <c r="H10" s="20"/>
    </row>
    <row r="11" spans="1:8" ht="15.6">
      <c r="B11" s="22" t="s">
        <v>109</v>
      </c>
      <c r="C11" s="31">
        <v>1.105</v>
      </c>
      <c r="D11" s="66" t="s">
        <v>110</v>
      </c>
      <c r="E11" s="52">
        <v>1.0649999999999999</v>
      </c>
      <c r="F11" s="52">
        <v>1.145</v>
      </c>
      <c r="G11" s="86" t="s">
        <v>207</v>
      </c>
      <c r="H11" s="86" t="s">
        <v>208</v>
      </c>
    </row>
    <row r="12" spans="1:8">
      <c r="B12" s="25" t="s">
        <v>112</v>
      </c>
      <c r="C12" s="31"/>
      <c r="D12" s="66"/>
      <c r="E12" s="21"/>
      <c r="F12" s="21"/>
      <c r="G12" s="21"/>
      <c r="H12" s="21"/>
    </row>
    <row r="13" spans="1:8" ht="15.6">
      <c r="B13" s="22" t="s">
        <v>113</v>
      </c>
      <c r="C13" s="31">
        <v>1.105</v>
      </c>
      <c r="D13" s="66" t="s">
        <v>110</v>
      </c>
      <c r="E13" s="52">
        <v>1.0649999999999999</v>
      </c>
      <c r="F13" s="52">
        <v>1.145</v>
      </c>
      <c r="G13" s="86" t="s">
        <v>207</v>
      </c>
      <c r="H13" s="86" t="s">
        <v>208</v>
      </c>
    </row>
    <row r="14" spans="1:8">
      <c r="B14" s="18" t="s">
        <v>115</v>
      </c>
      <c r="C14" s="31"/>
      <c r="D14" s="66"/>
      <c r="E14" s="20"/>
      <c r="F14" s="20"/>
      <c r="G14" s="20"/>
      <c r="H14" s="20"/>
    </row>
    <row r="15" spans="1:8" ht="15.6">
      <c r="B15" s="22" t="s">
        <v>116</v>
      </c>
      <c r="C15" s="31">
        <v>1.115</v>
      </c>
      <c r="D15" s="66" t="s">
        <v>110</v>
      </c>
      <c r="E15" s="52">
        <v>1.0840000000000001</v>
      </c>
      <c r="F15" s="52">
        <v>1.1459999999999999</v>
      </c>
      <c r="G15" s="86" t="s">
        <v>207</v>
      </c>
      <c r="H15" s="86" t="s">
        <v>208</v>
      </c>
    </row>
    <row r="16" spans="1:8" ht="15.6">
      <c r="B16" s="22" t="s">
        <v>118</v>
      </c>
      <c r="C16" s="31">
        <v>1.07</v>
      </c>
      <c r="D16" s="66" t="s">
        <v>110</v>
      </c>
      <c r="E16" s="52">
        <v>1.0209999999999999</v>
      </c>
      <c r="F16" s="52">
        <v>1.1120000000000001</v>
      </c>
      <c r="G16" s="86" t="s">
        <v>207</v>
      </c>
      <c r="H16" s="86" t="s">
        <v>208</v>
      </c>
    </row>
    <row r="17" spans="2:8" ht="15.6">
      <c r="B17" s="22" t="s">
        <v>119</v>
      </c>
      <c r="C17" s="34">
        <v>0.9</v>
      </c>
      <c r="D17" s="67" t="s">
        <v>110</v>
      </c>
      <c r="E17" s="53">
        <v>0.5</v>
      </c>
      <c r="F17" s="53">
        <v>1.7</v>
      </c>
      <c r="G17" s="88" t="s">
        <v>209</v>
      </c>
      <c r="H17" s="88" t="s">
        <v>210</v>
      </c>
    </row>
    <row r="18" spans="2:8" ht="15">
      <c r="B18" s="93" t="s">
        <v>121</v>
      </c>
      <c r="C18" s="27"/>
      <c r="D18" s="68"/>
      <c r="E18" s="29"/>
      <c r="F18" s="29"/>
      <c r="G18" s="87"/>
      <c r="H18" s="87"/>
    </row>
    <row r="19" spans="2:8">
      <c r="B19" s="94" t="s">
        <v>108</v>
      </c>
      <c r="C19" s="30"/>
      <c r="D19" s="66"/>
      <c r="E19" s="21"/>
      <c r="F19" s="21"/>
      <c r="G19" s="84"/>
      <c r="H19" s="84"/>
    </row>
    <row r="20" spans="2:8" ht="15.6">
      <c r="B20" s="95" t="s">
        <v>122</v>
      </c>
      <c r="C20" s="31">
        <v>1.097</v>
      </c>
      <c r="D20" s="66" t="s">
        <v>110</v>
      </c>
      <c r="E20" s="52">
        <v>1.0740000000000001</v>
      </c>
      <c r="F20" s="52">
        <v>1.1200000000000001</v>
      </c>
      <c r="G20" s="86" t="s">
        <v>207</v>
      </c>
      <c r="H20" s="86" t="s">
        <v>208</v>
      </c>
    </row>
    <row r="21" spans="2:8">
      <c r="B21" s="96" t="s">
        <v>112</v>
      </c>
      <c r="C21" s="31"/>
      <c r="D21" s="66"/>
      <c r="E21" s="21"/>
      <c r="F21" s="21"/>
      <c r="G21" s="21"/>
      <c r="H21" s="84"/>
    </row>
    <row r="22" spans="2:8" ht="15.6">
      <c r="B22" s="95" t="s">
        <v>123</v>
      </c>
      <c r="C22" s="31">
        <v>1.097</v>
      </c>
      <c r="D22" s="66" t="s">
        <v>110</v>
      </c>
      <c r="E22" s="52">
        <v>1.0740000000000001</v>
      </c>
      <c r="F22" s="52">
        <v>1.1200000000000001</v>
      </c>
      <c r="G22" s="86" t="s">
        <v>207</v>
      </c>
      <c r="H22" s="86" t="s">
        <v>208</v>
      </c>
    </row>
    <row r="23" spans="2:8">
      <c r="B23" s="94" t="s">
        <v>115</v>
      </c>
      <c r="C23" s="31"/>
      <c r="D23" s="66"/>
      <c r="E23" s="20"/>
      <c r="F23" s="20"/>
      <c r="G23" s="84"/>
      <c r="H23" s="84"/>
    </row>
    <row r="24" spans="2:8" ht="15.6">
      <c r="B24" s="95" t="s">
        <v>125</v>
      </c>
      <c r="C24" s="31">
        <v>1.0469999999999999</v>
      </c>
      <c r="D24" s="66" t="s">
        <v>110</v>
      </c>
      <c r="E24" s="52">
        <v>1.0309999999999999</v>
      </c>
      <c r="F24" s="52">
        <v>1.0640000000000001</v>
      </c>
      <c r="G24" s="86" t="s">
        <v>207</v>
      </c>
      <c r="H24" s="86" t="s">
        <v>208</v>
      </c>
    </row>
    <row r="25" spans="2:8" ht="15.6">
      <c r="B25" s="95" t="s">
        <v>126</v>
      </c>
      <c r="C25" s="31">
        <v>1.1299999999999999</v>
      </c>
      <c r="D25" s="66" t="s">
        <v>110</v>
      </c>
      <c r="E25" s="52">
        <v>1.1020000000000001</v>
      </c>
      <c r="F25" s="52">
        <v>1.159</v>
      </c>
      <c r="G25" s="86" t="s">
        <v>207</v>
      </c>
      <c r="H25" s="86" t="s">
        <v>208</v>
      </c>
    </row>
    <row r="26" spans="2:8" ht="15.6">
      <c r="B26" s="22" t="s">
        <v>211</v>
      </c>
      <c r="C26" s="31">
        <v>1.1819999999999999</v>
      </c>
      <c r="D26" s="66" t="s">
        <v>110</v>
      </c>
      <c r="E26" s="52">
        <v>1.0940000000000001</v>
      </c>
      <c r="F26" s="52">
        <v>1.276</v>
      </c>
      <c r="G26" s="86" t="s">
        <v>207</v>
      </c>
      <c r="H26" s="86" t="s">
        <v>208</v>
      </c>
    </row>
    <row r="27" spans="2:8" ht="15.6">
      <c r="B27" s="97" t="s">
        <v>129</v>
      </c>
      <c r="C27" s="34">
        <v>1.05</v>
      </c>
      <c r="D27" s="67" t="s">
        <v>130</v>
      </c>
      <c r="E27" s="54">
        <v>1.02</v>
      </c>
      <c r="F27" s="54">
        <v>1.07</v>
      </c>
      <c r="G27" s="85" t="s">
        <v>212</v>
      </c>
      <c r="H27" s="88" t="s">
        <v>208</v>
      </c>
    </row>
    <row r="32" spans="2:8">
      <c r="B32" s="490" t="s">
        <v>213</v>
      </c>
      <c r="C32" s="491"/>
      <c r="D32" s="491"/>
      <c r="E32" s="491"/>
      <c r="F32" s="491"/>
      <c r="G32" s="491"/>
      <c r="H32" s="491"/>
    </row>
    <row r="33" spans="2:8">
      <c r="B33" s="2" t="s">
        <v>214</v>
      </c>
      <c r="C33" s="2"/>
      <c r="D33" s="2"/>
      <c r="E33" s="2"/>
      <c r="F33" s="2"/>
      <c r="G33" s="2"/>
      <c r="H33" s="89"/>
    </row>
    <row r="34" spans="2:8">
      <c r="B34" s="2" t="s">
        <v>215</v>
      </c>
      <c r="C34" s="2"/>
      <c r="D34" s="2"/>
      <c r="E34" s="2"/>
      <c r="F34" s="2"/>
      <c r="G34" s="2"/>
      <c r="H34" s="89"/>
    </row>
    <row r="35" spans="2:8">
      <c r="B35" s="2"/>
      <c r="C35" s="2"/>
      <c r="D35" s="2"/>
      <c r="E35" s="2"/>
      <c r="F35" s="2"/>
      <c r="G35" s="2"/>
      <c r="H35" s="89"/>
    </row>
    <row r="36" spans="2:8">
      <c r="B36" s="566" t="s">
        <v>216</v>
      </c>
      <c r="C36" s="2"/>
      <c r="D36" s="2"/>
      <c r="E36" s="2"/>
      <c r="F36" s="2"/>
      <c r="G36" s="2"/>
      <c r="H36" s="89"/>
    </row>
    <row r="37" spans="2:8" ht="15" thickBot="1">
      <c r="B37" s="102" t="s">
        <v>217</v>
      </c>
      <c r="C37" s="2">
        <v>1.0900000000000001</v>
      </c>
      <c r="D37" s="559" t="s">
        <v>218</v>
      </c>
      <c r="E37" s="2">
        <v>0.91</v>
      </c>
      <c r="F37" s="2">
        <v>1.31</v>
      </c>
      <c r="G37" s="2" t="s">
        <v>219</v>
      </c>
      <c r="H37" s="89"/>
    </row>
    <row r="38" spans="2:8" ht="15" thickBot="1">
      <c r="B38" s="102" t="s">
        <v>220</v>
      </c>
      <c r="C38" s="562">
        <f>C37/(1-0.071+(0.071*C37))</f>
        <v>1.0830791243951152</v>
      </c>
      <c r="D38" s="572" t="s">
        <v>218</v>
      </c>
      <c r="E38" s="103">
        <f t="shared" ref="E38:F38" si="0">E37/(1-0.071+(0.071*E37))</f>
        <v>0.91585229617254249</v>
      </c>
      <c r="F38" s="103">
        <f t="shared" si="0"/>
        <v>1.2817878494339585</v>
      </c>
      <c r="G38" s="2" t="s">
        <v>221</v>
      </c>
      <c r="H38" s="89"/>
    </row>
    <row r="39" spans="2:8">
      <c r="B39" s="102"/>
      <c r="C39" s="102"/>
      <c r="D39" s="560"/>
      <c r="E39" s="2"/>
      <c r="F39" s="2"/>
      <c r="G39" s="2"/>
      <c r="H39" s="89"/>
    </row>
    <row r="40" spans="2:8">
      <c r="B40" s="102" t="s">
        <v>222</v>
      </c>
      <c r="C40" s="102"/>
      <c r="D40" s="560"/>
      <c r="E40" s="2"/>
      <c r="F40" s="2"/>
      <c r="G40" s="2"/>
      <c r="H40" s="89"/>
    </row>
    <row r="41" spans="2:8">
      <c r="B41" s="102" t="s">
        <v>217</v>
      </c>
      <c r="C41" s="102">
        <v>1.1499999999999999</v>
      </c>
      <c r="D41" s="89" t="s">
        <v>223</v>
      </c>
      <c r="E41" s="2">
        <v>1.06</v>
      </c>
      <c r="F41" s="2">
        <v>1.24</v>
      </c>
      <c r="G41" s="2" t="s">
        <v>224</v>
      </c>
      <c r="H41" s="89"/>
    </row>
    <row r="42" spans="2:8" ht="15.6" thickBot="1">
      <c r="B42" s="102" t="s">
        <v>225</v>
      </c>
      <c r="C42" s="102" t="s">
        <v>226</v>
      </c>
      <c r="D42" s="561" t="s">
        <v>227</v>
      </c>
      <c r="E42" s="2"/>
      <c r="F42" s="2"/>
      <c r="G42" s="2" t="s">
        <v>228</v>
      </c>
      <c r="H42" s="89"/>
    </row>
    <row r="43" spans="2:8" ht="15" thickBot="1">
      <c r="B43" s="102" t="s">
        <v>220</v>
      </c>
      <c r="C43" s="564">
        <f>C41/(1-0.395+(0.395*C41))</f>
        <v>1.0856738258201557</v>
      </c>
      <c r="D43" s="571" t="s">
        <v>229</v>
      </c>
      <c r="E43" s="103">
        <f>E41/(1-0.395+(0.395*E41))</f>
        <v>1.0354596073068281</v>
      </c>
      <c r="F43" s="103">
        <f>F41/(1-0.395+(0.395*F41))</f>
        <v>1.1326269638290098</v>
      </c>
      <c r="G43" s="2" t="s">
        <v>221</v>
      </c>
      <c r="H43" s="89"/>
    </row>
    <row r="44" spans="2:8">
      <c r="B44" s="102"/>
      <c r="C44" s="102"/>
      <c r="D44" s="560"/>
      <c r="E44" s="2"/>
      <c r="F44" s="2"/>
      <c r="G44" s="2"/>
      <c r="H44" s="89"/>
    </row>
    <row r="45" spans="2:8" ht="15" thickBot="1">
      <c r="B45" s="567" t="s">
        <v>230</v>
      </c>
      <c r="C45" s="102">
        <v>1.05</v>
      </c>
      <c r="D45" s="89" t="s">
        <v>231</v>
      </c>
      <c r="E45" s="2">
        <v>1.02</v>
      </c>
      <c r="F45" s="2">
        <v>1.07</v>
      </c>
      <c r="G45" s="2" t="s">
        <v>232</v>
      </c>
      <c r="H45" s="89"/>
    </row>
    <row r="46" spans="2:8" ht="15" thickBot="1">
      <c r="B46" s="102" t="s">
        <v>220</v>
      </c>
      <c r="C46" s="563">
        <f>C45/(1-0.0001+(0.0001*C45))</f>
        <v>1.0499947500262499</v>
      </c>
      <c r="D46" s="570" t="s">
        <v>233</v>
      </c>
      <c r="E46" s="103">
        <f>E45/(1-0.0001+(0.0001*E45))</f>
        <v>1.0199979600040801</v>
      </c>
      <c r="F46" s="103">
        <f>F45/(1-0.0001+(0.0001*F45))</f>
        <v>1.0699925100524297</v>
      </c>
      <c r="G46" s="2" t="s">
        <v>221</v>
      </c>
      <c r="H46" s="89"/>
    </row>
    <row r="47" spans="2:8">
      <c r="B47" s="2"/>
      <c r="C47" s="2"/>
      <c r="D47" s="2"/>
      <c r="E47" s="2"/>
      <c r="F47" s="2"/>
      <c r="G47" s="2"/>
      <c r="H47" s="89"/>
    </row>
    <row r="48" spans="2:8">
      <c r="B48" s="2" t="s">
        <v>234</v>
      </c>
      <c r="C48" s="2"/>
      <c r="E48" s="568" t="s">
        <v>235</v>
      </c>
      <c r="F48" s="2"/>
      <c r="G48" s="2"/>
    </row>
    <row r="49" spans="2:8">
      <c r="B49" s="102"/>
      <c r="C49" s="2"/>
      <c r="D49" s="2"/>
      <c r="E49" s="2"/>
      <c r="F49" s="2"/>
      <c r="G49" s="2"/>
      <c r="H49" s="89"/>
    </row>
    <row r="50" spans="2:8" ht="15.6">
      <c r="B50" s="102" t="s">
        <v>236</v>
      </c>
      <c r="C50" s="151">
        <v>2.88</v>
      </c>
      <c r="D50" s="2" t="s">
        <v>237</v>
      </c>
      <c r="E50" s="573">
        <v>2</v>
      </c>
      <c r="H50" s="89"/>
    </row>
    <row r="51" spans="2:8">
      <c r="B51" s="2"/>
      <c r="C51" s="2"/>
      <c r="D51" s="2"/>
      <c r="E51" s="2"/>
      <c r="F51" s="2"/>
      <c r="G51" s="2"/>
      <c r="H51" s="89"/>
    </row>
    <row r="52" spans="2:8">
      <c r="B52" s="102" t="s">
        <v>238</v>
      </c>
      <c r="C52" s="105">
        <f>(($C$38-1)*1/1)/((($C$38-1)*1/1)+1)</f>
        <v>7.6706422018348625E-2</v>
      </c>
      <c r="D52" s="89" t="s">
        <v>239</v>
      </c>
      <c r="E52" s="2"/>
      <c r="F52" s="2"/>
      <c r="G52" s="2"/>
      <c r="H52" s="89"/>
    </row>
    <row r="53" spans="2:8">
      <c r="B53" s="102"/>
      <c r="E53" s="2"/>
      <c r="F53" s="2"/>
      <c r="G53" s="2"/>
      <c r="H53" s="89"/>
    </row>
    <row r="54" spans="2:8">
      <c r="B54" s="102" t="s">
        <v>240</v>
      </c>
      <c r="C54" s="104">
        <f>(($C$46-1)*2.88/4)/((($C$46-1)*2.88/4)+1)*E50</f>
        <v>6.9491025784328087E-2</v>
      </c>
      <c r="D54" s="89" t="s">
        <v>239</v>
      </c>
      <c r="E54" s="89" t="s">
        <v>241</v>
      </c>
      <c r="F54" s="104">
        <f>((1.02-1)*2.88/4)/(((1.02-1)*2.88/4)+1)*E50</f>
        <v>2.8391167192429047E-2</v>
      </c>
      <c r="G54" s="2" t="s">
        <v>242</v>
      </c>
      <c r="H54" s="89"/>
    </row>
    <row r="55" spans="2:8">
      <c r="B55" s="102"/>
      <c r="C55" s="104"/>
      <c r="D55" s="2"/>
      <c r="F55" s="105"/>
      <c r="G55" s="2"/>
      <c r="H55" s="89"/>
    </row>
    <row r="56" spans="2:8">
      <c r="B56" s="102" t="s">
        <v>243</v>
      </c>
      <c r="C56" s="565">
        <f>((1.09-1)*2.88/30.76)/(((1.09-1)*2.88/30.76)+1)*E50</f>
        <v>1.6712229844741331E-2</v>
      </c>
      <c r="D56" s="559" t="s">
        <v>244</v>
      </c>
      <c r="F56" s="565">
        <f>((1.31-1)*2.88/30.76)/(((1.31-1)*2.88/30.76)+1)*E50</f>
        <v>5.6412070970024777E-2</v>
      </c>
      <c r="G56" s="2" t="s">
        <v>245</v>
      </c>
      <c r="H56" s="89"/>
    </row>
    <row r="57" spans="2:8">
      <c r="B57" s="2"/>
      <c r="C57" s="2"/>
      <c r="D57" s="2"/>
      <c r="E57" s="2"/>
      <c r="F57" s="2"/>
      <c r="G57" s="2"/>
      <c r="H57" s="89"/>
    </row>
    <row r="58" spans="2:8">
      <c r="B58" s="569" t="s">
        <v>246</v>
      </c>
      <c r="C58" s="2"/>
      <c r="D58" s="2"/>
      <c r="E58" s="2"/>
      <c r="F58" s="2"/>
      <c r="G58" s="2"/>
      <c r="H58" s="89"/>
    </row>
    <row r="59" spans="2:8">
      <c r="B59" s="2"/>
      <c r="D59" s="2"/>
      <c r="E59" s="2"/>
      <c r="F59" s="2"/>
      <c r="G59" s="2"/>
      <c r="H59" s="89"/>
    </row>
    <row r="60" spans="2:8">
      <c r="B60" s="1"/>
      <c r="D60" s="2"/>
      <c r="E60" s="2"/>
      <c r="F60" s="2"/>
      <c r="G60" s="2"/>
      <c r="H60" s="89"/>
    </row>
    <row r="61" spans="2:8">
      <c r="B61" s="2"/>
      <c r="C61" s="106"/>
      <c r="D61" s="2"/>
      <c r="E61" s="2"/>
      <c r="F61" s="1"/>
      <c r="G61" s="1"/>
    </row>
    <row r="62" spans="2:8">
      <c r="B62" s="2"/>
      <c r="C62" s="107"/>
      <c r="D62" s="2"/>
      <c r="E62" s="2"/>
      <c r="F62" s="1"/>
      <c r="G62" s="1"/>
    </row>
    <row r="63" spans="2:8">
      <c r="B63" s="2"/>
      <c r="C63" s="108"/>
      <c r="D63" s="2"/>
      <c r="E63" s="2"/>
    </row>
  </sheetData>
  <mergeCells count="1">
    <mergeCell ref="C7:H7"/>
  </mergeCells>
  <dataValidations count="9">
    <dataValidation type="decimal" operator="equal" allowBlank="1" showInputMessage="1" showErrorMessage="1" errorTitle="default value" error="the default value cannot be changed" sqref="C15" xr:uid="{46BDC89B-D685-40DD-91A6-71163DDDDA63}">
      <formula1>1.115</formula1>
    </dataValidation>
    <dataValidation type="decimal" operator="equal" allowBlank="1" showInputMessage="1" showErrorMessage="1" errorTitle="default" error="the default value cannot be changed" sqref="C16" xr:uid="{A88D55F1-3256-438B-8191-A47722904E8B}">
      <formula1>1.07</formula1>
    </dataValidation>
    <dataValidation type="decimal" operator="equal" allowBlank="1" showInputMessage="1" showErrorMessage="1" errorTitle="default" error="the default value cannot be changed" sqref="C17" xr:uid="{75836C6B-DDE6-428C-9158-79071840D445}">
      <formula1>0.9</formula1>
    </dataValidation>
    <dataValidation type="decimal" operator="equal" allowBlank="1" showInputMessage="1" showErrorMessage="1" error="the default value cannot be changed" sqref="C24" xr:uid="{46E30BC4-CA96-4156-9C20-365878B9777E}">
      <formula1>1.047</formula1>
    </dataValidation>
    <dataValidation type="decimal" operator="equal" allowBlank="1" showInputMessage="1" showErrorMessage="1" errorTitle="default" error="the default value cannot be changed" sqref="C25" xr:uid="{81ACCB32-E80D-4882-B7DF-513799E494D8}">
      <formula1>1.13</formula1>
    </dataValidation>
    <dataValidation type="decimal" operator="equal" allowBlank="1" showInputMessage="1" showErrorMessage="1" errorTitle="default" error="the default value cannot be changed" sqref="C26" xr:uid="{AEA1E62D-438A-493B-8A01-C19058D41422}">
      <formula1>1.182</formula1>
    </dataValidation>
    <dataValidation type="decimal" operator="equal" allowBlank="1" showInputMessage="1" showErrorMessage="1" errorTitle="default" error="the default value cannot be changed" sqref="C22 C20" xr:uid="{B1F02997-082B-4A23-BD6E-8F46C9946790}">
      <formula1>1.097</formula1>
    </dataValidation>
    <dataValidation type="decimal" operator="equal" allowBlank="1" showInputMessage="1" showErrorMessage="1" errorTitle="default value" error="the default value cannot be changed" promptTitle="default" sqref="C11 C13" xr:uid="{FA965502-DF74-4745-998D-102B1E995F28}">
      <formula1>1.105</formula1>
    </dataValidation>
    <dataValidation type="decimal" operator="equal" allowBlank="1" showInputMessage="1" showErrorMessage="1" errorTitle="default" error="the default value cannot be changed" sqref="C27:C29" xr:uid="{FDB0CFBB-3B38-4BFB-A17C-2FC85A2F30A9}">
      <formula1>1.05</formula1>
    </dataValidation>
  </dataValidations>
  <hyperlinks>
    <hyperlink ref="A4" location="Contents!A1" display="Back to Contents" xr:uid="{E71EC1A1-8391-4A34-9802-972E100EC47D}"/>
  </hyperlink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CA4B-FC1F-4A1B-8128-F3F1AED1206D}">
  <sheetPr>
    <tabColor theme="7"/>
  </sheetPr>
  <dimension ref="A1:I50"/>
  <sheetViews>
    <sheetView workbookViewId="0">
      <selection activeCell="C42" sqref="C42"/>
    </sheetView>
  </sheetViews>
  <sheetFormatPr defaultRowHeight="14.45"/>
  <cols>
    <col min="2" max="2" width="65.5703125" customWidth="1"/>
    <col min="3" max="3" width="10.85546875" customWidth="1"/>
    <col min="4" max="4" width="18.140625" customWidth="1"/>
    <col min="5" max="6" width="10.85546875" customWidth="1"/>
    <col min="7" max="7" width="52.85546875" customWidth="1"/>
    <col min="8" max="8" width="51.42578125" customWidth="1"/>
  </cols>
  <sheetData>
    <row r="1" spans="1:8" ht="18.600000000000001">
      <c r="A1" s="162" t="s">
        <v>23</v>
      </c>
      <c r="B1" s="159"/>
      <c r="C1" s="159"/>
      <c r="D1" s="159"/>
      <c r="E1" s="159"/>
      <c r="F1" s="159"/>
      <c r="G1" s="159"/>
      <c r="H1" s="159"/>
    </row>
    <row r="2" spans="1:8">
      <c r="A2" s="216" t="s">
        <v>247</v>
      </c>
    </row>
    <row r="3" spans="1:8">
      <c r="A3" s="437" t="s">
        <v>248</v>
      </c>
    </row>
    <row r="4" spans="1:8">
      <c r="A4" s="380" t="s">
        <v>59</v>
      </c>
    </row>
    <row r="5" spans="1:8">
      <c r="E5" s="101"/>
      <c r="F5" s="101"/>
    </row>
    <row r="6" spans="1:8">
      <c r="C6" s="292"/>
      <c r="D6" s="292"/>
      <c r="E6" s="292"/>
      <c r="F6" s="292"/>
      <c r="G6" s="292"/>
    </row>
    <row r="7" spans="1:8">
      <c r="B7" s="79" t="s">
        <v>99</v>
      </c>
      <c r="C7" s="729" t="s">
        <v>100</v>
      </c>
      <c r="D7" s="730"/>
      <c r="E7" s="730"/>
      <c r="F7" s="730"/>
      <c r="G7" s="730"/>
      <c r="H7" s="730"/>
    </row>
    <row r="8" spans="1:8">
      <c r="B8" s="12" t="s">
        <v>101</v>
      </c>
      <c r="C8" s="13" t="s">
        <v>102</v>
      </c>
      <c r="D8" s="81" t="s">
        <v>104</v>
      </c>
      <c r="E8" s="51" t="s">
        <v>105</v>
      </c>
      <c r="F8" s="51" t="s">
        <v>106</v>
      </c>
      <c r="G8" s="64" t="s">
        <v>205</v>
      </c>
      <c r="H8" s="64" t="s">
        <v>206</v>
      </c>
    </row>
    <row r="9" spans="1:8" ht="15">
      <c r="B9" s="15" t="s">
        <v>107</v>
      </c>
      <c r="C9" s="16"/>
      <c r="D9" s="17"/>
      <c r="E9" s="17"/>
      <c r="F9" s="17"/>
      <c r="G9" s="17"/>
      <c r="H9" s="17"/>
    </row>
    <row r="10" spans="1:8">
      <c r="B10" s="18" t="s">
        <v>108</v>
      </c>
      <c r="C10" s="19"/>
      <c r="D10" s="20"/>
      <c r="E10" s="20"/>
      <c r="F10" s="20"/>
      <c r="G10" s="20"/>
      <c r="H10" s="20"/>
    </row>
    <row r="11" spans="1:8" ht="15">
      <c r="B11" s="22" t="s">
        <v>109</v>
      </c>
      <c r="C11" s="56">
        <v>15691757</v>
      </c>
      <c r="D11" s="66" t="s">
        <v>111</v>
      </c>
      <c r="E11" s="60">
        <f>G36</f>
        <v>10168258</v>
      </c>
      <c r="F11" s="60">
        <f>H36</f>
        <v>21215255</v>
      </c>
      <c r="G11" s="86" t="s">
        <v>249</v>
      </c>
      <c r="H11" s="86" t="s">
        <v>250</v>
      </c>
    </row>
    <row r="12" spans="1:8">
      <c r="B12" s="25" t="s">
        <v>112</v>
      </c>
      <c r="C12" s="56"/>
      <c r="D12" s="66"/>
      <c r="E12" s="141"/>
      <c r="F12" s="141"/>
      <c r="G12" s="21"/>
      <c r="H12" s="21"/>
    </row>
    <row r="13" spans="1:8" ht="15">
      <c r="B13" s="22" t="s">
        <v>113</v>
      </c>
      <c r="C13" s="56">
        <v>914488</v>
      </c>
      <c r="D13" s="66" t="s">
        <v>114</v>
      </c>
      <c r="E13" s="60">
        <f>G37</f>
        <v>80016</v>
      </c>
      <c r="F13" s="60">
        <f>H37</f>
        <v>1236387</v>
      </c>
      <c r="G13" s="86" t="s">
        <v>251</v>
      </c>
      <c r="H13" s="86" t="s">
        <v>252</v>
      </c>
    </row>
    <row r="14" spans="1:8">
      <c r="B14" s="18" t="s">
        <v>115</v>
      </c>
      <c r="C14" s="56"/>
      <c r="D14" s="66"/>
      <c r="E14" s="61"/>
      <c r="F14" s="61"/>
      <c r="G14" s="20"/>
      <c r="H14" s="20"/>
    </row>
    <row r="15" spans="1:8" ht="15">
      <c r="B15" s="22" t="s">
        <v>116</v>
      </c>
      <c r="C15" s="56">
        <f>F38</f>
        <v>50902</v>
      </c>
      <c r="D15" s="66" t="s">
        <v>117</v>
      </c>
      <c r="E15" s="60">
        <f>G38</f>
        <v>15006</v>
      </c>
      <c r="F15" s="60">
        <f t="shared" ref="F15:F17" si="0">H38</f>
        <v>657056</v>
      </c>
      <c r="G15" s="86" t="s">
        <v>253</v>
      </c>
      <c r="H15" s="86" t="s">
        <v>254</v>
      </c>
    </row>
    <row r="16" spans="1:8" ht="15">
      <c r="B16" s="22" t="s">
        <v>118</v>
      </c>
      <c r="C16" s="56">
        <f>F39</f>
        <v>44075</v>
      </c>
      <c r="D16" s="66" t="s">
        <v>117</v>
      </c>
      <c r="E16" s="60">
        <f t="shared" ref="E16:E17" si="1">G39</f>
        <v>8178</v>
      </c>
      <c r="F16" s="60">
        <f t="shared" si="0"/>
        <v>642446</v>
      </c>
      <c r="G16" s="86" t="s">
        <v>253</v>
      </c>
      <c r="H16" s="86" t="s">
        <v>254</v>
      </c>
    </row>
    <row r="17" spans="2:9" ht="15">
      <c r="B17" s="22" t="s">
        <v>119</v>
      </c>
      <c r="C17" s="57">
        <f>F40</f>
        <v>124</v>
      </c>
      <c r="D17" s="67" t="s">
        <v>120</v>
      </c>
      <c r="E17" s="62">
        <f t="shared" si="1"/>
        <v>68</v>
      </c>
      <c r="F17" s="62">
        <f t="shared" si="0"/>
        <v>174</v>
      </c>
      <c r="G17" s="88" t="s">
        <v>253</v>
      </c>
      <c r="H17" s="88" t="s">
        <v>254</v>
      </c>
    </row>
    <row r="18" spans="2:9" ht="15">
      <c r="B18" s="93" t="s">
        <v>121</v>
      </c>
      <c r="C18" s="58"/>
      <c r="D18" s="65"/>
      <c r="E18" s="63"/>
      <c r="F18" s="63"/>
      <c r="G18" s="87"/>
      <c r="H18" s="87"/>
    </row>
    <row r="19" spans="2:9">
      <c r="B19" s="94" t="s">
        <v>108</v>
      </c>
      <c r="C19" s="59"/>
      <c r="D19" s="69"/>
      <c r="E19" s="61"/>
      <c r="F19" s="61"/>
      <c r="G19" s="84"/>
      <c r="H19" s="84"/>
    </row>
    <row r="20" spans="2:9" ht="15">
      <c r="B20" s="95" t="s">
        <v>122</v>
      </c>
      <c r="C20" s="56">
        <f>C11</f>
        <v>15691757</v>
      </c>
      <c r="D20" s="66" t="s">
        <v>111</v>
      </c>
      <c r="E20" s="60">
        <f>E11</f>
        <v>10168258</v>
      </c>
      <c r="F20" s="60">
        <f>F11</f>
        <v>21215255</v>
      </c>
      <c r="G20" s="86" t="s">
        <v>249</v>
      </c>
      <c r="H20" s="86" t="s">
        <v>250</v>
      </c>
    </row>
    <row r="21" spans="2:9">
      <c r="B21" s="96" t="s">
        <v>112</v>
      </c>
      <c r="C21" s="56"/>
      <c r="D21" s="66"/>
      <c r="E21" s="141"/>
      <c r="F21" s="141"/>
      <c r="G21" s="21"/>
      <c r="H21" s="21"/>
    </row>
    <row r="22" spans="2:9" ht="15">
      <c r="B22" s="95" t="s">
        <v>123</v>
      </c>
      <c r="C22" s="56">
        <f>C13</f>
        <v>914488</v>
      </c>
      <c r="D22" s="66" t="s">
        <v>114</v>
      </c>
      <c r="E22" s="60">
        <f>E13</f>
        <v>80016</v>
      </c>
      <c r="F22" s="60">
        <f>F13</f>
        <v>1236387</v>
      </c>
      <c r="G22" s="86" t="s">
        <v>251</v>
      </c>
      <c r="H22" s="86" t="s">
        <v>252</v>
      </c>
    </row>
    <row r="23" spans="2:9">
      <c r="B23" s="94" t="s">
        <v>115</v>
      </c>
      <c r="C23" s="56"/>
      <c r="D23" s="66"/>
      <c r="E23" s="61"/>
      <c r="F23" s="61"/>
      <c r="G23" s="20"/>
      <c r="H23" s="20"/>
    </row>
    <row r="24" spans="2:9" ht="15">
      <c r="B24" s="95" t="s">
        <v>125</v>
      </c>
      <c r="C24" s="56">
        <v>50902</v>
      </c>
      <c r="D24" s="66" t="s">
        <v>117</v>
      </c>
      <c r="E24" s="60">
        <f>E15</f>
        <v>15006</v>
      </c>
      <c r="F24" s="60">
        <f>F15</f>
        <v>657056</v>
      </c>
      <c r="G24" s="86" t="s">
        <v>253</v>
      </c>
      <c r="H24" s="86" t="s">
        <v>254</v>
      </c>
    </row>
    <row r="25" spans="2:9" ht="15">
      <c r="B25" s="95" t="s">
        <v>126</v>
      </c>
      <c r="C25" s="56">
        <v>44075</v>
      </c>
      <c r="D25" s="66" t="s">
        <v>117</v>
      </c>
      <c r="E25" s="60">
        <f>E16</f>
        <v>8178</v>
      </c>
      <c r="F25" s="60">
        <f>F16</f>
        <v>642446</v>
      </c>
      <c r="G25" s="86" t="s">
        <v>253</v>
      </c>
      <c r="H25" s="86" t="s">
        <v>254</v>
      </c>
    </row>
    <row r="26" spans="2:9" ht="15">
      <c r="B26" s="37" t="s">
        <v>127</v>
      </c>
      <c r="C26" s="56">
        <f>F41</f>
        <v>2529</v>
      </c>
      <c r="D26" s="66" t="s">
        <v>128</v>
      </c>
      <c r="E26" s="60">
        <f>G41</f>
        <v>1265</v>
      </c>
      <c r="F26" s="60">
        <f>H41</f>
        <v>3794</v>
      </c>
      <c r="G26" s="86" t="s">
        <v>253</v>
      </c>
      <c r="H26" s="86" t="s">
        <v>254</v>
      </c>
    </row>
    <row r="27" spans="2:9" ht="15">
      <c r="B27" s="97" t="s">
        <v>129</v>
      </c>
      <c r="C27" s="57">
        <f>F42</f>
        <v>178</v>
      </c>
      <c r="D27" s="67" t="s">
        <v>128</v>
      </c>
      <c r="E27" s="62">
        <f>G42</f>
        <v>89</v>
      </c>
      <c r="F27" s="62">
        <f>H42</f>
        <v>267</v>
      </c>
      <c r="G27" s="88" t="s">
        <v>253</v>
      </c>
      <c r="H27" s="88" t="s">
        <v>254</v>
      </c>
    </row>
    <row r="30" spans="2:9">
      <c r="H30" s="2"/>
      <c r="I30" s="2"/>
    </row>
    <row r="31" spans="2:9">
      <c r="C31" s="98"/>
      <c r="D31" s="99"/>
      <c r="E31" s="100"/>
      <c r="F31" s="100"/>
      <c r="G31" s="2"/>
      <c r="H31" s="2"/>
      <c r="I31" s="2"/>
    </row>
    <row r="32" spans="2:9">
      <c r="B32" s="445" t="s">
        <v>255</v>
      </c>
      <c r="C32" s="492"/>
      <c r="D32" s="492"/>
      <c r="E32" s="492"/>
      <c r="F32" s="492"/>
      <c r="G32" s="492"/>
      <c r="H32" s="493"/>
    </row>
    <row r="34" spans="2:9" ht="15" thickBot="1">
      <c r="B34" s="134" t="s">
        <v>256</v>
      </c>
      <c r="C34" s="9"/>
      <c r="D34" s="9"/>
      <c r="E34" s="9"/>
      <c r="F34" s="447" t="s">
        <v>257</v>
      </c>
      <c r="G34" s="9"/>
      <c r="H34" s="9"/>
    </row>
    <row r="35" spans="2:9" ht="15" thickBot="1">
      <c r="B35" s="142" t="s">
        <v>258</v>
      </c>
      <c r="C35" s="143" t="s">
        <v>104</v>
      </c>
      <c r="D35" s="149" t="s">
        <v>259</v>
      </c>
      <c r="E35" s="145" t="s">
        <v>260</v>
      </c>
      <c r="F35" s="144" t="s">
        <v>261</v>
      </c>
      <c r="G35" s="146" t="s">
        <v>105</v>
      </c>
      <c r="H35" s="146" t="s">
        <v>106</v>
      </c>
      <c r="I35" s="91"/>
    </row>
    <row r="36" spans="2:9" ht="15" thickBot="1">
      <c r="B36" s="147" t="s">
        <v>262</v>
      </c>
      <c r="C36" s="150" t="s">
        <v>263</v>
      </c>
      <c r="D36" s="135">
        <v>4527300</v>
      </c>
      <c r="E36" s="136">
        <v>3.4660000000000002</v>
      </c>
      <c r="F36" s="137">
        <v>15691757</v>
      </c>
      <c r="G36" s="138">
        <v>10168258</v>
      </c>
      <c r="H36" s="138">
        <v>21215255</v>
      </c>
      <c r="I36" s="447" t="s">
        <v>264</v>
      </c>
    </row>
    <row r="37" spans="2:9" ht="15" thickBot="1">
      <c r="B37" s="147" t="s">
        <v>265</v>
      </c>
      <c r="C37" s="150" t="s">
        <v>266</v>
      </c>
      <c r="D37" s="135">
        <v>263843</v>
      </c>
      <c r="E37" s="136">
        <v>3.4660000000000002</v>
      </c>
      <c r="F37" s="137">
        <v>914488</v>
      </c>
      <c r="G37" s="138">
        <v>80016</v>
      </c>
      <c r="H37" s="138">
        <v>1236387</v>
      </c>
      <c r="I37" s="447" t="s">
        <v>264</v>
      </c>
    </row>
    <row r="38" spans="2:9" ht="15" thickBot="1">
      <c r="B38" s="147" t="s">
        <v>267</v>
      </c>
      <c r="C38" s="150" t="s">
        <v>268</v>
      </c>
      <c r="D38" s="135">
        <v>36666</v>
      </c>
      <c r="E38" s="136">
        <v>1.3879999999999999</v>
      </c>
      <c r="F38" s="137">
        <v>50902</v>
      </c>
      <c r="G38" s="138">
        <v>15006</v>
      </c>
      <c r="H38" s="138">
        <v>657056</v>
      </c>
      <c r="I38" s="447" t="s">
        <v>269</v>
      </c>
    </row>
    <row r="39" spans="2:9" ht="15" thickBot="1">
      <c r="B39" s="147" t="s">
        <v>270</v>
      </c>
      <c r="C39" s="150" t="s">
        <v>268</v>
      </c>
      <c r="D39" s="135">
        <v>31748</v>
      </c>
      <c r="E39" s="136">
        <v>1.3879999999999999</v>
      </c>
      <c r="F39" s="137">
        <v>44075</v>
      </c>
      <c r="G39" s="138">
        <v>8178</v>
      </c>
      <c r="H39" s="138">
        <v>642446</v>
      </c>
      <c r="I39" s="447" t="s">
        <v>269</v>
      </c>
    </row>
    <row r="40" spans="2:9" ht="15" thickBot="1">
      <c r="B40" s="147" t="s">
        <v>271</v>
      </c>
      <c r="C40" s="150" t="s">
        <v>272</v>
      </c>
      <c r="D40" s="135">
        <v>89</v>
      </c>
      <c r="E40" s="136">
        <v>1.3879999999999999</v>
      </c>
      <c r="F40" s="137">
        <v>124</v>
      </c>
      <c r="G40" s="138">
        <v>68</v>
      </c>
      <c r="H40" s="138">
        <v>174</v>
      </c>
      <c r="I40" s="447" t="s">
        <v>269</v>
      </c>
    </row>
    <row r="41" spans="2:9" ht="15" thickBot="1">
      <c r="B41" s="147" t="s">
        <v>273</v>
      </c>
      <c r="C41" s="150" t="s">
        <v>274</v>
      </c>
      <c r="D41" s="135">
        <v>1822</v>
      </c>
      <c r="E41" s="136">
        <v>1.3879999999999999</v>
      </c>
      <c r="F41" s="137">
        <v>2529</v>
      </c>
      <c r="G41" s="138">
        <v>1265</v>
      </c>
      <c r="H41" s="138">
        <v>3794</v>
      </c>
      <c r="I41" s="447" t="s">
        <v>269</v>
      </c>
    </row>
    <row r="42" spans="2:9" ht="15" thickBot="1">
      <c r="B42" s="147" t="s">
        <v>275</v>
      </c>
      <c r="C42" s="150" t="s">
        <v>274</v>
      </c>
      <c r="D42" s="135">
        <v>128</v>
      </c>
      <c r="E42" s="136">
        <v>1.3879999999999999</v>
      </c>
      <c r="F42" s="137">
        <v>178</v>
      </c>
      <c r="G42" s="138">
        <v>89</v>
      </c>
      <c r="H42" s="138">
        <v>267</v>
      </c>
      <c r="I42" s="447" t="s">
        <v>269</v>
      </c>
    </row>
    <row r="43" spans="2:9">
      <c r="B43" s="139" t="s">
        <v>276</v>
      </c>
      <c r="C43" s="9"/>
      <c r="D43" s="9"/>
      <c r="E43" s="9"/>
      <c r="F43" s="9"/>
      <c r="G43" s="9"/>
      <c r="H43" s="9"/>
      <c r="I43" s="448"/>
    </row>
    <row r="44" spans="2:9">
      <c r="B44" s="9"/>
      <c r="C44" s="9"/>
      <c r="D44" s="9"/>
      <c r="E44" s="9"/>
      <c r="F44" s="9"/>
      <c r="G44" s="9"/>
      <c r="H44" s="9"/>
    </row>
    <row r="45" spans="2:9" ht="15" thickBot="1">
      <c r="B45" s="134" t="s">
        <v>277</v>
      </c>
      <c r="C45" s="447" t="s">
        <v>257</v>
      </c>
      <c r="D45" s="9"/>
      <c r="E45" s="9"/>
      <c r="F45" s="9"/>
      <c r="G45" s="9"/>
      <c r="H45" s="9"/>
    </row>
    <row r="46" spans="2:9" ht="26.45" thickBot="1">
      <c r="B46" s="142"/>
      <c r="C46" s="146" t="s">
        <v>278</v>
      </c>
      <c r="D46" s="144" t="s">
        <v>279</v>
      </c>
      <c r="E46" s="144" t="s">
        <v>280</v>
      </c>
      <c r="F46" s="144" t="s">
        <v>281</v>
      </c>
      <c r="G46" s="9"/>
      <c r="H46" s="9"/>
    </row>
    <row r="47" spans="2:9" ht="15" thickBot="1">
      <c r="B47" s="147" t="s">
        <v>282</v>
      </c>
      <c r="C47" s="148">
        <v>15691757</v>
      </c>
      <c r="D47" s="135">
        <v>13449438</v>
      </c>
      <c r="E47" s="135">
        <v>8715236</v>
      </c>
      <c r="F47" s="135">
        <v>18183640</v>
      </c>
      <c r="G47" s="9"/>
      <c r="H47" s="9"/>
    </row>
    <row r="48" spans="2:9" ht="15" thickBot="1">
      <c r="B48" s="147" t="s">
        <v>283</v>
      </c>
      <c r="C48" s="148">
        <v>914488</v>
      </c>
      <c r="D48" s="135">
        <v>783809</v>
      </c>
      <c r="E48" s="135">
        <v>68582</v>
      </c>
      <c r="F48" s="135">
        <v>1059710</v>
      </c>
      <c r="G48" s="9"/>
      <c r="H48" s="9"/>
    </row>
    <row r="49" spans="2:2">
      <c r="B49" s="140"/>
    </row>
    <row r="50" spans="2:2">
      <c r="B50" s="321"/>
    </row>
  </sheetData>
  <mergeCells count="1">
    <mergeCell ref="C7:H7"/>
  </mergeCells>
  <hyperlinks>
    <hyperlink ref="A4" location="Contents!A1" display="Back to Contents" xr:uid="{F744D878-EFD3-4B9C-9811-71AFEF0CA7ED}"/>
  </hyperlink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B106B-9092-416F-986E-F67C724D7C47}">
  <sheetPr>
    <tabColor theme="7" tint="0.39997558519241921"/>
    <pageSetUpPr fitToPage="1"/>
  </sheetPr>
  <dimension ref="A1:Y113"/>
  <sheetViews>
    <sheetView topLeftCell="A99" zoomScaleNormal="100" workbookViewId="0">
      <selection activeCell="H4" sqref="H4"/>
    </sheetView>
  </sheetViews>
  <sheetFormatPr defaultRowHeight="14.45"/>
  <cols>
    <col min="2" max="2" width="46.42578125" bestFit="1" customWidth="1"/>
    <col min="3" max="3" width="14.7109375" customWidth="1"/>
    <col min="4" max="4" width="14.85546875" customWidth="1"/>
    <col min="5" max="5" width="14.7109375" customWidth="1"/>
    <col min="6" max="6" width="14.85546875" customWidth="1"/>
    <col min="7" max="11" width="14.5703125" customWidth="1"/>
    <col min="12" max="12" width="15.7109375" customWidth="1"/>
    <col min="13" max="13" width="16.5703125" customWidth="1"/>
    <col min="14" max="18" width="14.5703125" customWidth="1"/>
  </cols>
  <sheetData>
    <row r="1" spans="1:18" ht="18.600000000000001">
      <c r="A1" s="163" t="s">
        <v>284</v>
      </c>
      <c r="B1" s="164"/>
      <c r="C1" s="164"/>
      <c r="D1" s="164"/>
      <c r="E1" s="164"/>
      <c r="F1" s="164"/>
      <c r="G1" s="164"/>
      <c r="H1" s="164"/>
      <c r="I1" s="164"/>
      <c r="J1" s="164"/>
      <c r="K1" s="164"/>
      <c r="L1" s="164"/>
      <c r="M1" s="164"/>
      <c r="N1" s="164"/>
      <c r="O1" s="164"/>
      <c r="P1" s="164"/>
      <c r="Q1" s="164"/>
      <c r="R1" s="164"/>
    </row>
    <row r="2" spans="1:18" ht="15">
      <c r="A2" s="4" t="s">
        <v>285</v>
      </c>
      <c r="B2" s="9"/>
      <c r="C2" s="9"/>
      <c r="D2" s="9"/>
      <c r="E2" s="9"/>
      <c r="F2" s="9"/>
      <c r="G2" s="9"/>
      <c r="H2" s="9"/>
      <c r="I2" s="9"/>
      <c r="J2" s="9"/>
      <c r="K2" s="9"/>
      <c r="L2" s="9"/>
      <c r="M2" s="9"/>
      <c r="N2" s="9"/>
      <c r="O2" s="9"/>
      <c r="P2" s="9"/>
      <c r="Q2" s="9"/>
      <c r="R2" s="9"/>
    </row>
    <row r="3" spans="1:18">
      <c r="A3" s="437" t="s">
        <v>286</v>
      </c>
      <c r="B3" s="9"/>
      <c r="C3" s="9"/>
      <c r="D3" s="9"/>
      <c r="E3" s="9"/>
      <c r="F3" s="9"/>
      <c r="G3" s="9"/>
      <c r="H3" s="9"/>
      <c r="I3" s="9"/>
      <c r="J3" s="9"/>
      <c r="K3" s="9"/>
      <c r="L3" s="9"/>
      <c r="M3" s="9"/>
      <c r="N3" s="9"/>
      <c r="O3" s="9"/>
      <c r="P3" s="9"/>
      <c r="Q3" s="9"/>
      <c r="R3" s="9"/>
    </row>
    <row r="4" spans="1:18">
      <c r="A4" s="380" t="s">
        <v>59</v>
      </c>
      <c r="B4" s="9"/>
      <c r="C4" s="9"/>
      <c r="D4" s="9"/>
      <c r="E4" s="9"/>
      <c r="F4" s="9"/>
      <c r="G4" s="9"/>
      <c r="H4" s="9"/>
      <c r="I4" s="9"/>
      <c r="J4" s="9"/>
      <c r="K4" s="9"/>
      <c r="L4" s="9"/>
      <c r="M4" s="9"/>
      <c r="N4" s="9"/>
      <c r="O4" s="9"/>
      <c r="P4" s="9"/>
      <c r="Q4" s="9"/>
      <c r="R4" s="9"/>
    </row>
    <row r="5" spans="1:18">
      <c r="A5" s="9"/>
      <c r="B5" s="9"/>
      <c r="C5" s="9"/>
      <c r="D5" s="9"/>
      <c r="E5" s="9"/>
      <c r="F5" s="9"/>
      <c r="G5" s="9"/>
      <c r="H5" s="9"/>
      <c r="I5" s="9"/>
      <c r="J5" s="9"/>
      <c r="K5" s="9"/>
      <c r="L5" s="9"/>
      <c r="M5" s="9"/>
      <c r="N5" s="9"/>
      <c r="O5" s="9"/>
      <c r="P5" s="9"/>
      <c r="Q5" s="9"/>
      <c r="R5" s="9"/>
    </row>
    <row r="6" spans="1:18">
      <c r="A6" s="9"/>
      <c r="B6" s="9"/>
      <c r="C6" s="292"/>
      <c r="D6" s="174"/>
      <c r="E6" s="174"/>
      <c r="F6" s="174"/>
      <c r="G6" s="174"/>
      <c r="H6" s="174"/>
      <c r="I6" s="174"/>
      <c r="J6" s="174"/>
      <c r="K6" s="9"/>
      <c r="L6" s="9"/>
      <c r="M6" s="9"/>
      <c r="N6" s="9"/>
      <c r="O6" s="9"/>
      <c r="P6" s="9"/>
      <c r="Q6" s="9"/>
      <c r="R6" s="9"/>
    </row>
    <row r="7" spans="1:18">
      <c r="A7" s="9"/>
      <c r="B7" s="494" t="s">
        <v>131</v>
      </c>
      <c r="C7" s="731" t="s">
        <v>132</v>
      </c>
      <c r="D7" s="732"/>
      <c r="E7" s="732"/>
      <c r="F7" s="733"/>
      <c r="G7" s="734" t="s">
        <v>205</v>
      </c>
      <c r="H7" s="735"/>
      <c r="I7" s="735"/>
      <c r="J7" s="735"/>
      <c r="K7" s="735"/>
      <c r="L7" s="736"/>
      <c r="M7" s="494" t="s">
        <v>206</v>
      </c>
      <c r="N7" s="495"/>
      <c r="O7" s="495"/>
      <c r="P7" s="496"/>
      <c r="Q7" s="9"/>
      <c r="R7" s="9"/>
    </row>
    <row r="8" spans="1:18">
      <c r="A8" s="9"/>
      <c r="B8" s="497"/>
      <c r="C8" s="498" t="s">
        <v>102</v>
      </c>
      <c r="D8" s="499" t="s">
        <v>104</v>
      </c>
      <c r="E8" s="500" t="s">
        <v>105</v>
      </c>
      <c r="F8" s="500" t="s">
        <v>106</v>
      </c>
      <c r="G8" s="743"/>
      <c r="H8" s="744"/>
      <c r="I8" s="744"/>
      <c r="J8" s="744"/>
      <c r="K8" s="744"/>
      <c r="L8" s="745"/>
      <c r="M8" s="501"/>
      <c r="N8" s="502"/>
      <c r="O8" s="502"/>
      <c r="P8" s="503"/>
      <c r="Q8" s="9"/>
      <c r="R8" s="9"/>
    </row>
    <row r="9" spans="1:18" ht="15">
      <c r="A9" s="9"/>
      <c r="B9" s="15" t="s">
        <v>107</v>
      </c>
      <c r="C9" s="35"/>
      <c r="D9" s="73"/>
      <c r="E9" s="21"/>
      <c r="F9" s="21"/>
      <c r="G9" s="740"/>
      <c r="H9" s="741"/>
      <c r="I9" s="741"/>
      <c r="J9" s="741"/>
      <c r="K9" s="741"/>
      <c r="L9" s="742"/>
      <c r="M9" s="214"/>
      <c r="N9" s="316"/>
      <c r="O9" s="316"/>
      <c r="P9" s="317"/>
      <c r="Q9" s="9"/>
      <c r="R9" s="9"/>
    </row>
    <row r="10" spans="1:18" ht="15">
      <c r="A10" s="9"/>
      <c r="B10" s="37" t="s">
        <v>64</v>
      </c>
      <c r="C10" s="78">
        <v>0</v>
      </c>
      <c r="D10" s="74" t="s">
        <v>133</v>
      </c>
      <c r="E10" s="76">
        <v>0</v>
      </c>
      <c r="F10" s="76">
        <v>0</v>
      </c>
      <c r="G10" s="737" t="s">
        <v>154</v>
      </c>
      <c r="H10" s="738"/>
      <c r="I10" s="738"/>
      <c r="J10" s="738"/>
      <c r="K10" s="738"/>
      <c r="L10" s="739"/>
      <c r="M10" s="215" t="s">
        <v>155</v>
      </c>
      <c r="N10" s="318"/>
      <c r="O10" s="318"/>
      <c r="P10" s="286"/>
      <c r="Q10" s="9"/>
      <c r="R10" s="9"/>
    </row>
    <row r="11" spans="1:18" ht="15">
      <c r="A11" s="9"/>
      <c r="B11" s="37" t="s">
        <v>65</v>
      </c>
      <c r="C11" s="78">
        <v>0</v>
      </c>
      <c r="D11" s="74" t="s">
        <v>133</v>
      </c>
      <c r="E11" s="76">
        <v>0</v>
      </c>
      <c r="F11" s="76">
        <v>0</v>
      </c>
      <c r="G11" s="737" t="s">
        <v>154</v>
      </c>
      <c r="H11" s="738"/>
      <c r="I11" s="738"/>
      <c r="J11" s="738"/>
      <c r="K11" s="738"/>
      <c r="L11" s="739"/>
      <c r="M11" s="215" t="s">
        <v>156</v>
      </c>
      <c r="N11" s="318"/>
      <c r="O11" s="318"/>
      <c r="P11" s="286"/>
      <c r="Q11" s="9"/>
      <c r="R11" s="9"/>
    </row>
    <row r="12" spans="1:18" ht="15">
      <c r="A12" s="9"/>
      <c r="B12" s="37" t="s">
        <v>66</v>
      </c>
      <c r="C12" s="71">
        <f>H34</f>
        <v>17.534935092014717</v>
      </c>
      <c r="D12" s="74" t="s">
        <v>133</v>
      </c>
      <c r="E12" s="82">
        <f>H35</f>
        <v>5.8929955800307585</v>
      </c>
      <c r="F12" s="82">
        <f>H36</f>
        <v>35.302472152230379</v>
      </c>
      <c r="G12" s="737" t="s">
        <v>287</v>
      </c>
      <c r="H12" s="738"/>
      <c r="I12" s="738"/>
      <c r="J12" s="738"/>
      <c r="K12" s="738"/>
      <c r="L12" s="739"/>
      <c r="M12" s="37" t="s">
        <v>288</v>
      </c>
      <c r="N12" s="295"/>
      <c r="O12" s="295"/>
      <c r="P12" s="291"/>
      <c r="Q12" s="9"/>
      <c r="R12" s="9"/>
    </row>
    <row r="13" spans="1:18" ht="15">
      <c r="A13" s="9"/>
      <c r="B13" s="37" t="s">
        <v>67</v>
      </c>
      <c r="C13" s="121">
        <f>H37</f>
        <v>2.1827720031553586</v>
      </c>
      <c r="D13" s="74" t="s">
        <v>133</v>
      </c>
      <c r="E13" s="120">
        <f>H38</f>
        <v>0.7403260778933114</v>
      </c>
      <c r="F13" s="120">
        <f>H39</f>
        <v>4.7767520309074616</v>
      </c>
      <c r="G13" s="737" t="s">
        <v>289</v>
      </c>
      <c r="H13" s="738"/>
      <c r="I13" s="738"/>
      <c r="J13" s="738"/>
      <c r="K13" s="738"/>
      <c r="L13" s="739"/>
      <c r="M13" s="37" t="s">
        <v>288</v>
      </c>
      <c r="N13" s="295"/>
      <c r="O13" s="295"/>
      <c r="P13" s="291"/>
      <c r="Q13" s="9"/>
      <c r="R13" s="9"/>
    </row>
    <row r="14" spans="1:18" ht="15">
      <c r="A14" s="9"/>
      <c r="B14" s="37" t="s">
        <v>68</v>
      </c>
      <c r="C14" s="70">
        <f>H40</f>
        <v>0.50931346740291705</v>
      </c>
      <c r="D14" s="74" t="s">
        <v>133</v>
      </c>
      <c r="E14" s="119">
        <f>H41</f>
        <v>0.15991043282495529</v>
      </c>
      <c r="F14" s="119">
        <f>H42</f>
        <v>0.97809684442390876</v>
      </c>
      <c r="G14" s="737" t="s">
        <v>290</v>
      </c>
      <c r="H14" s="738"/>
      <c r="I14" s="738"/>
      <c r="J14" s="738"/>
      <c r="K14" s="738"/>
      <c r="L14" s="739"/>
      <c r="M14" s="37" t="s">
        <v>288</v>
      </c>
      <c r="N14" s="295"/>
      <c r="O14" s="295"/>
      <c r="P14" s="291"/>
      <c r="Q14" s="9"/>
      <c r="R14" s="9"/>
    </row>
    <row r="15" spans="1:18" ht="15">
      <c r="A15" s="9"/>
      <c r="B15" s="37" t="s">
        <v>69</v>
      </c>
      <c r="C15" s="70">
        <f>H43</f>
        <v>0.50931346740291705</v>
      </c>
      <c r="D15" s="74" t="s">
        <v>133</v>
      </c>
      <c r="E15" s="119">
        <f>H44</f>
        <v>0.15991043282495529</v>
      </c>
      <c r="F15" s="119">
        <f>H45</f>
        <v>0.97809684442390876</v>
      </c>
      <c r="G15" s="737" t="s">
        <v>291</v>
      </c>
      <c r="H15" s="738"/>
      <c r="I15" s="738"/>
      <c r="J15" s="738"/>
      <c r="K15" s="738"/>
      <c r="L15" s="739"/>
      <c r="M15" s="37" t="s">
        <v>288</v>
      </c>
      <c r="N15" s="295"/>
      <c r="O15" s="295"/>
      <c r="P15" s="291"/>
      <c r="Q15" s="9"/>
      <c r="R15" s="9"/>
    </row>
    <row r="16" spans="1:18" ht="15">
      <c r="A16" s="9"/>
      <c r="B16" s="37" t="s">
        <v>70</v>
      </c>
      <c r="C16" s="70">
        <f>H46</f>
        <v>0.16977115580097232</v>
      </c>
      <c r="D16" s="74" t="s">
        <v>133</v>
      </c>
      <c r="E16" s="119">
        <f>H47</f>
        <v>5.3303477608318425E-2</v>
      </c>
      <c r="F16" s="119">
        <f>H48</f>
        <v>0.32603228147463625</v>
      </c>
      <c r="G16" s="737" t="s">
        <v>292</v>
      </c>
      <c r="H16" s="738"/>
      <c r="I16" s="738"/>
      <c r="J16" s="738"/>
      <c r="K16" s="738"/>
      <c r="L16" s="739"/>
      <c r="M16" s="37" t="s">
        <v>288</v>
      </c>
      <c r="N16" s="295"/>
      <c r="O16" s="295"/>
      <c r="P16" s="291"/>
      <c r="Q16" s="9"/>
      <c r="R16" s="9"/>
    </row>
    <row r="17" spans="1:18" ht="15">
      <c r="A17" s="9"/>
      <c r="B17" s="50" t="s">
        <v>71</v>
      </c>
      <c r="C17" s="113">
        <v>0</v>
      </c>
      <c r="D17" s="75" t="s">
        <v>133</v>
      </c>
      <c r="E17" s="77">
        <v>0</v>
      </c>
      <c r="F17" s="77">
        <v>0</v>
      </c>
      <c r="G17" s="746" t="s">
        <v>154</v>
      </c>
      <c r="H17" s="747"/>
      <c r="I17" s="747"/>
      <c r="J17" s="747"/>
      <c r="K17" s="747"/>
      <c r="L17" s="748"/>
      <c r="M17" s="319" t="s">
        <v>156</v>
      </c>
      <c r="N17" s="320"/>
      <c r="O17" s="320"/>
      <c r="P17" s="289"/>
      <c r="Q17" s="9"/>
      <c r="R17" s="9"/>
    </row>
    <row r="18" spans="1:18" ht="15">
      <c r="A18" s="9"/>
      <c r="B18" s="26" t="s">
        <v>121</v>
      </c>
      <c r="C18" s="35"/>
      <c r="D18" s="74"/>
      <c r="E18" s="76"/>
      <c r="F18" s="76"/>
      <c r="G18" s="740"/>
      <c r="H18" s="741"/>
      <c r="I18" s="741"/>
      <c r="J18" s="741"/>
      <c r="K18" s="741"/>
      <c r="L18" s="742"/>
      <c r="M18" s="214"/>
      <c r="N18" s="316"/>
      <c r="O18" s="316"/>
      <c r="P18" s="317"/>
      <c r="Q18" s="9"/>
      <c r="R18" s="9"/>
    </row>
    <row r="19" spans="1:18" ht="15">
      <c r="A19" s="9"/>
      <c r="B19" s="37" t="s">
        <v>64</v>
      </c>
      <c r="C19" s="78">
        <v>0</v>
      </c>
      <c r="D19" s="74" t="s">
        <v>133</v>
      </c>
      <c r="E19" s="76">
        <v>0</v>
      </c>
      <c r="F19" s="76">
        <v>0</v>
      </c>
      <c r="G19" s="737" t="s">
        <v>154</v>
      </c>
      <c r="H19" s="738"/>
      <c r="I19" s="738"/>
      <c r="J19" s="738"/>
      <c r="K19" s="738"/>
      <c r="L19" s="739"/>
      <c r="M19" s="215" t="s">
        <v>155</v>
      </c>
      <c r="N19" s="318"/>
      <c r="O19" s="318"/>
      <c r="P19" s="286"/>
      <c r="Q19" s="9"/>
      <c r="R19" s="9"/>
    </row>
    <row r="20" spans="1:18" ht="15">
      <c r="A20" s="9"/>
      <c r="B20" s="37" t="s">
        <v>65</v>
      </c>
      <c r="C20" s="121">
        <f>H52</f>
        <v>2.875</v>
      </c>
      <c r="D20" s="74" t="s">
        <v>133</v>
      </c>
      <c r="E20" s="120">
        <f>H53</f>
        <v>0.3</v>
      </c>
      <c r="F20" s="120">
        <f>H54</f>
        <v>7.4250000000000007</v>
      </c>
      <c r="G20" s="737" t="s">
        <v>293</v>
      </c>
      <c r="H20" s="738"/>
      <c r="I20" s="738"/>
      <c r="J20" s="738"/>
      <c r="K20" s="738"/>
      <c r="L20" s="739"/>
      <c r="M20" s="215" t="s">
        <v>294</v>
      </c>
      <c r="N20" s="318"/>
      <c r="O20" s="318"/>
      <c r="P20" s="286"/>
      <c r="Q20" s="9"/>
      <c r="R20" s="9"/>
    </row>
    <row r="21" spans="1:18" ht="15.6">
      <c r="A21" s="9"/>
      <c r="B21" s="37" t="s">
        <v>66</v>
      </c>
      <c r="C21" s="78">
        <v>0</v>
      </c>
      <c r="D21" s="74" t="s">
        <v>133</v>
      </c>
      <c r="E21" s="76">
        <v>0</v>
      </c>
      <c r="F21" s="76">
        <v>0</v>
      </c>
      <c r="G21" s="737" t="s">
        <v>154</v>
      </c>
      <c r="H21" s="738"/>
      <c r="I21" s="738"/>
      <c r="J21" s="738"/>
      <c r="K21" s="738"/>
      <c r="L21" s="739"/>
      <c r="M21" s="37" t="s">
        <v>295</v>
      </c>
      <c r="N21" s="295"/>
      <c r="O21" s="295"/>
      <c r="P21" s="291"/>
      <c r="Q21" s="9"/>
      <c r="R21" s="9"/>
    </row>
    <row r="22" spans="1:18" ht="15.6">
      <c r="A22" s="9"/>
      <c r="B22" s="37" t="s">
        <v>67</v>
      </c>
      <c r="C22" s="78">
        <v>0</v>
      </c>
      <c r="D22" s="74" t="s">
        <v>133</v>
      </c>
      <c r="E22" s="76">
        <v>0</v>
      </c>
      <c r="F22" s="76">
        <v>0</v>
      </c>
      <c r="G22" s="737" t="s">
        <v>154</v>
      </c>
      <c r="H22" s="738"/>
      <c r="I22" s="738"/>
      <c r="J22" s="738"/>
      <c r="K22" s="738"/>
      <c r="L22" s="739"/>
      <c r="M22" s="37" t="s">
        <v>295</v>
      </c>
      <c r="N22" s="295"/>
      <c r="O22" s="295"/>
      <c r="P22" s="291"/>
      <c r="Q22" s="9"/>
      <c r="R22" s="9"/>
    </row>
    <row r="23" spans="1:18" ht="15.6">
      <c r="A23" s="9"/>
      <c r="B23" s="37" t="s">
        <v>68</v>
      </c>
      <c r="C23" s="78">
        <v>0</v>
      </c>
      <c r="D23" s="74" t="s">
        <v>133</v>
      </c>
      <c r="E23" s="76">
        <v>0</v>
      </c>
      <c r="F23" s="76">
        <v>0</v>
      </c>
      <c r="G23" s="37" t="s">
        <v>154</v>
      </c>
      <c r="H23" s="295"/>
      <c r="I23" s="295"/>
      <c r="J23" s="295"/>
      <c r="K23" s="295"/>
      <c r="L23" s="291"/>
      <c r="M23" s="37" t="s">
        <v>295</v>
      </c>
      <c r="N23" s="295"/>
      <c r="O23" s="295"/>
      <c r="P23" s="291"/>
      <c r="Q23" s="9"/>
      <c r="R23" s="9"/>
    </row>
    <row r="24" spans="1:18" ht="15.6">
      <c r="A24" s="9"/>
      <c r="B24" s="37" t="s">
        <v>69</v>
      </c>
      <c r="C24" s="78">
        <v>0</v>
      </c>
      <c r="D24" s="74" t="s">
        <v>133</v>
      </c>
      <c r="E24" s="76">
        <v>0</v>
      </c>
      <c r="F24" s="76">
        <v>0</v>
      </c>
      <c r="G24" s="37" t="s">
        <v>154</v>
      </c>
      <c r="H24" s="295"/>
      <c r="I24" s="295"/>
      <c r="J24" s="295"/>
      <c r="K24" s="295"/>
      <c r="L24" s="291"/>
      <c r="M24" s="37" t="s">
        <v>295</v>
      </c>
      <c r="N24" s="295"/>
      <c r="O24" s="295"/>
      <c r="P24" s="291"/>
      <c r="Q24" s="9"/>
      <c r="R24" s="9"/>
    </row>
    <row r="25" spans="1:18" ht="15.6">
      <c r="A25" s="9"/>
      <c r="B25" s="37" t="s">
        <v>70</v>
      </c>
      <c r="C25" s="78">
        <v>0</v>
      </c>
      <c r="D25" s="74" t="s">
        <v>133</v>
      </c>
      <c r="E25" s="76">
        <v>0</v>
      </c>
      <c r="F25" s="76">
        <v>0</v>
      </c>
      <c r="G25" s="37" t="s">
        <v>154</v>
      </c>
      <c r="H25" s="295"/>
      <c r="I25" s="295"/>
      <c r="J25" s="295"/>
      <c r="K25" s="295"/>
      <c r="L25" s="291"/>
      <c r="M25" s="37" t="s">
        <v>295</v>
      </c>
      <c r="N25" s="295"/>
      <c r="O25" s="295"/>
      <c r="P25" s="291"/>
      <c r="Q25" s="9"/>
      <c r="R25" s="9"/>
    </row>
    <row r="26" spans="1:18" ht="15">
      <c r="A26" s="9"/>
      <c r="B26" s="50" t="s">
        <v>71</v>
      </c>
      <c r="C26" s="123">
        <f>H55</f>
        <v>6.6210750762379211</v>
      </c>
      <c r="D26" s="75" t="s">
        <v>133</v>
      </c>
      <c r="E26" s="308">
        <f>H56</f>
        <v>4.4419564673598684</v>
      </c>
      <c r="F26" s="308">
        <f>H57</f>
        <v>9.9174470736935874</v>
      </c>
      <c r="G26" s="746" t="s">
        <v>293</v>
      </c>
      <c r="H26" s="747"/>
      <c r="I26" s="747"/>
      <c r="J26" s="747"/>
      <c r="K26" s="747"/>
      <c r="L26" s="748"/>
      <c r="M26" s="319" t="s">
        <v>288</v>
      </c>
      <c r="N26" s="320"/>
      <c r="O26" s="320"/>
      <c r="P26" s="289"/>
      <c r="Q26" s="9"/>
      <c r="R26" s="9"/>
    </row>
    <row r="27" spans="1:18">
      <c r="A27" s="9"/>
      <c r="B27" s="114"/>
      <c r="C27" s="152"/>
      <c r="D27" s="99"/>
      <c r="E27" s="118"/>
      <c r="F27" s="118"/>
      <c r="G27" s="118"/>
      <c r="H27" s="118"/>
      <c r="I27" s="118"/>
      <c r="J27" s="118"/>
      <c r="K27" s="151"/>
      <c r="L27" s="151"/>
      <c r="M27" s="151"/>
      <c r="N27" s="151"/>
      <c r="O27" s="151"/>
      <c r="P27" s="151"/>
      <c r="Q27" s="151"/>
      <c r="R27" s="151"/>
    </row>
    <row r="28" spans="1:18">
      <c r="A28" s="9"/>
      <c r="B28" s="114"/>
      <c r="C28" s="152"/>
      <c r="D28" s="99"/>
      <c r="E28" s="118"/>
      <c r="F28" s="118"/>
      <c r="G28" s="118"/>
      <c r="H28" s="118"/>
      <c r="I28" s="118"/>
      <c r="J28" s="118"/>
      <c r="K28" s="151"/>
      <c r="L28" s="151"/>
      <c r="M28" s="151"/>
      <c r="N28" s="151"/>
      <c r="O28" s="151"/>
      <c r="P28" s="151"/>
      <c r="Q28" s="151"/>
      <c r="R28" s="151"/>
    </row>
    <row r="29" spans="1:18">
      <c r="A29" s="9"/>
      <c r="B29" s="114"/>
      <c r="C29" s="152"/>
      <c r="D29" s="99"/>
      <c r="E29" s="118"/>
      <c r="F29" s="118"/>
      <c r="G29" s="118"/>
      <c r="H29" s="118"/>
      <c r="I29" s="118"/>
      <c r="J29" s="118"/>
      <c r="K29" s="151"/>
      <c r="L29" s="151"/>
      <c r="M29" s="151"/>
      <c r="N29" s="151"/>
      <c r="O29" s="151"/>
      <c r="P29" s="151"/>
      <c r="Q29" s="151"/>
      <c r="R29" s="151"/>
    </row>
    <row r="31" spans="1:18">
      <c r="B31" s="490" t="s">
        <v>296</v>
      </c>
      <c r="C31" s="493"/>
      <c r="D31" s="493"/>
      <c r="E31" s="493"/>
      <c r="F31" s="493"/>
      <c r="G31" s="493"/>
      <c r="H31" s="493"/>
      <c r="I31" s="493"/>
      <c r="J31" s="493"/>
      <c r="K31" s="493"/>
      <c r="L31" s="493"/>
    </row>
    <row r="32" spans="1:18">
      <c r="B32" s="9"/>
      <c r="D32" s="117" t="s">
        <v>297</v>
      </c>
      <c r="E32" s="117"/>
    </row>
    <row r="33" spans="2:13" ht="15.95">
      <c r="B33" s="504" t="s">
        <v>298</v>
      </c>
      <c r="C33" s="505" t="s">
        <v>299</v>
      </c>
      <c r="D33" s="506" t="s">
        <v>300</v>
      </c>
      <c r="E33" s="506" t="s">
        <v>301</v>
      </c>
      <c r="F33" s="506" t="s">
        <v>302</v>
      </c>
      <c r="G33" s="506" t="s">
        <v>303</v>
      </c>
      <c r="H33" s="507" t="s">
        <v>304</v>
      </c>
      <c r="I33" s="508" t="s">
        <v>305</v>
      </c>
      <c r="J33" s="509"/>
      <c r="K33" s="510"/>
      <c r="L33" s="510"/>
      <c r="M33" s="511"/>
    </row>
    <row r="34" spans="2:13">
      <c r="B34" s="37" t="s">
        <v>66</v>
      </c>
      <c r="C34" s="71">
        <v>48.2</v>
      </c>
      <c r="D34" s="128">
        <f>'Annual incs'!D64</f>
        <v>0.18451250725619014</v>
      </c>
      <c r="E34" s="128">
        <f>'Annual incs'!E64</f>
        <v>1.2857878981909876E-2</v>
      </c>
      <c r="F34" s="128">
        <f>'Annual incs'!F64</f>
        <v>0.25781094919880576</v>
      </c>
      <c r="G34" s="74">
        <f>'Annual incs'!G64</f>
        <v>1</v>
      </c>
      <c r="H34" s="130">
        <f>(D34+E34+F34+G34)*C34/4</f>
        <v>17.534935092014717</v>
      </c>
      <c r="I34" s="685" t="s">
        <v>306</v>
      </c>
      <c r="J34" s="526"/>
      <c r="K34" s="527"/>
      <c r="L34" s="527"/>
      <c r="M34" s="528"/>
    </row>
    <row r="35" spans="2:13">
      <c r="B35" s="37" t="s">
        <v>307</v>
      </c>
      <c r="C35" s="71">
        <v>19.899999999999999</v>
      </c>
      <c r="D35" s="128">
        <f>'Annual incs'!D63</f>
        <v>4.2512545099175791E-2</v>
      </c>
      <c r="E35" s="128">
        <f>'Annual incs'!E63</f>
        <v>0</v>
      </c>
      <c r="F35" s="128">
        <f>'Annual incs'!F63</f>
        <v>0.14200917953012254</v>
      </c>
      <c r="G35" s="74">
        <f>'Annual incs'!G63</f>
        <v>1</v>
      </c>
      <c r="H35" s="130">
        <f t="shared" ref="H35:H48" si="0">(D35+E35+F35+G35)*C35/4</f>
        <v>5.8929955800307585</v>
      </c>
      <c r="I35" s="477" t="s">
        <v>308</v>
      </c>
      <c r="J35" s="357"/>
      <c r="K35" s="529"/>
      <c r="L35" s="529"/>
      <c r="M35" s="530"/>
    </row>
    <row r="36" spans="2:13">
      <c r="B36" s="50" t="s">
        <v>309</v>
      </c>
      <c r="C36" s="80">
        <v>77.599999999999994</v>
      </c>
      <c r="D36" s="129">
        <f>'Annual incs'!D62</f>
        <v>0.33326504028450177</v>
      </c>
      <c r="E36" s="129">
        <f>'Annual incs'!E62</f>
        <v>6.8587080338675985E-2</v>
      </c>
      <c r="F36" s="129">
        <f>'Annual incs'!F62</f>
        <v>0.41786293877014102</v>
      </c>
      <c r="G36" s="75">
        <f>'Annual incs'!G62</f>
        <v>1</v>
      </c>
      <c r="H36" s="131">
        <f t="shared" si="0"/>
        <v>35.302472152230379</v>
      </c>
      <c r="I36" s="686" t="s">
        <v>310</v>
      </c>
      <c r="J36" s="531"/>
      <c r="K36" s="517"/>
      <c r="L36" s="517"/>
      <c r="M36" s="518"/>
    </row>
    <row r="37" spans="2:13">
      <c r="B37" s="37" t="s">
        <v>67</v>
      </c>
      <c r="C37" s="71">
        <v>6</v>
      </c>
      <c r="D37" s="128">
        <f t="shared" ref="D37:G48" si="1">D34</f>
        <v>0.18451250725619014</v>
      </c>
      <c r="E37" s="128">
        <f t="shared" si="1"/>
        <v>1.2857878981909876E-2</v>
      </c>
      <c r="F37" s="128">
        <f t="shared" si="1"/>
        <v>0.25781094919880576</v>
      </c>
      <c r="G37" s="74">
        <f t="shared" si="1"/>
        <v>1</v>
      </c>
      <c r="H37" s="125">
        <f t="shared" si="0"/>
        <v>2.1827720031553586</v>
      </c>
      <c r="I37" s="477" t="s">
        <v>311</v>
      </c>
      <c r="J37" s="529"/>
      <c r="K37" s="529"/>
      <c r="L37" s="529"/>
      <c r="M37" s="530"/>
    </row>
    <row r="38" spans="2:13">
      <c r="B38" s="37" t="s">
        <v>307</v>
      </c>
      <c r="C38" s="71">
        <v>2.5</v>
      </c>
      <c r="D38" s="128">
        <f t="shared" si="1"/>
        <v>4.2512545099175791E-2</v>
      </c>
      <c r="E38" s="128">
        <f t="shared" si="1"/>
        <v>0</v>
      </c>
      <c r="F38" s="128">
        <f t="shared" si="1"/>
        <v>0.14200917953012254</v>
      </c>
      <c r="G38" s="74">
        <f t="shared" si="1"/>
        <v>1</v>
      </c>
      <c r="H38" s="125">
        <f t="shared" si="0"/>
        <v>0.7403260778933114</v>
      </c>
      <c r="I38" s="477"/>
      <c r="J38" s="529"/>
      <c r="K38" s="529"/>
      <c r="L38" s="529"/>
      <c r="M38" s="530"/>
    </row>
    <row r="39" spans="2:13">
      <c r="B39" s="50" t="s">
        <v>309</v>
      </c>
      <c r="C39" s="80">
        <v>10.5</v>
      </c>
      <c r="D39" s="129">
        <f t="shared" si="1"/>
        <v>0.33326504028450177</v>
      </c>
      <c r="E39" s="129">
        <f t="shared" si="1"/>
        <v>6.8587080338675985E-2</v>
      </c>
      <c r="F39" s="129">
        <f t="shared" si="1"/>
        <v>0.41786293877014102</v>
      </c>
      <c r="G39" s="75">
        <f t="shared" si="1"/>
        <v>1</v>
      </c>
      <c r="H39" s="126">
        <f t="shared" si="0"/>
        <v>4.7767520309074616</v>
      </c>
      <c r="I39" s="477"/>
      <c r="J39" s="529"/>
      <c r="K39" s="529"/>
      <c r="L39" s="529"/>
      <c r="M39" s="530"/>
    </row>
    <row r="40" spans="2:13">
      <c r="B40" s="37" t="s">
        <v>68</v>
      </c>
      <c r="C40" s="71">
        <v>1.4</v>
      </c>
      <c r="D40" s="128">
        <f t="shared" si="1"/>
        <v>0.18451250725619014</v>
      </c>
      <c r="E40" s="128">
        <f t="shared" si="1"/>
        <v>1.2857878981909876E-2</v>
      </c>
      <c r="F40" s="128">
        <f t="shared" si="1"/>
        <v>0.25781094919880576</v>
      </c>
      <c r="G40" s="74">
        <f t="shared" si="1"/>
        <v>1</v>
      </c>
      <c r="H40" s="32">
        <f t="shared" si="0"/>
        <v>0.50931346740291705</v>
      </c>
      <c r="I40" s="685" t="s">
        <v>311</v>
      </c>
      <c r="J40" s="527"/>
      <c r="K40" s="527"/>
      <c r="L40" s="527"/>
      <c r="M40" s="528"/>
    </row>
    <row r="41" spans="2:13">
      <c r="B41" s="37" t="s">
        <v>307</v>
      </c>
      <c r="C41" s="71">
        <v>0.54</v>
      </c>
      <c r="D41" s="128">
        <f t="shared" si="1"/>
        <v>4.2512545099175791E-2</v>
      </c>
      <c r="E41" s="128">
        <f t="shared" si="1"/>
        <v>0</v>
      </c>
      <c r="F41" s="128">
        <f t="shared" si="1"/>
        <v>0.14200917953012254</v>
      </c>
      <c r="G41" s="74">
        <f t="shared" si="1"/>
        <v>1</v>
      </c>
      <c r="H41" s="32">
        <f t="shared" si="0"/>
        <v>0.15991043282495529</v>
      </c>
      <c r="I41" s="477"/>
      <c r="J41" s="357"/>
      <c r="K41" s="529"/>
      <c r="L41" s="529"/>
      <c r="M41" s="530"/>
    </row>
    <row r="42" spans="2:13">
      <c r="B42" s="50" t="s">
        <v>309</v>
      </c>
      <c r="C42" s="123">
        <v>2.15</v>
      </c>
      <c r="D42" s="129">
        <f t="shared" si="1"/>
        <v>0.33326504028450177</v>
      </c>
      <c r="E42" s="129">
        <f t="shared" si="1"/>
        <v>6.8587080338675985E-2</v>
      </c>
      <c r="F42" s="129">
        <f t="shared" si="1"/>
        <v>0.41786293877014102</v>
      </c>
      <c r="G42" s="75">
        <f t="shared" si="1"/>
        <v>1</v>
      </c>
      <c r="H42" s="116">
        <f t="shared" si="0"/>
        <v>0.97809684442390876</v>
      </c>
      <c r="I42" s="686"/>
      <c r="J42" s="531"/>
      <c r="K42" s="517"/>
      <c r="L42" s="517"/>
      <c r="M42" s="518"/>
    </row>
    <row r="43" spans="2:13">
      <c r="B43" s="37" t="s">
        <v>69</v>
      </c>
      <c r="C43" s="71">
        <f>C40</f>
        <v>1.4</v>
      </c>
      <c r="D43" s="128">
        <f t="shared" si="1"/>
        <v>0.18451250725619014</v>
      </c>
      <c r="E43" s="128">
        <f t="shared" si="1"/>
        <v>1.2857878981909876E-2</v>
      </c>
      <c r="F43" s="128">
        <f t="shared" si="1"/>
        <v>0.25781094919880576</v>
      </c>
      <c r="G43" s="74">
        <f t="shared" si="1"/>
        <v>1</v>
      </c>
      <c r="H43" s="32">
        <f t="shared" si="0"/>
        <v>0.50931346740291705</v>
      </c>
      <c r="I43" s="477" t="s">
        <v>312</v>
      </c>
      <c r="J43" s="357"/>
      <c r="K43" s="529"/>
      <c r="L43" s="529"/>
      <c r="M43" s="530"/>
    </row>
    <row r="44" spans="2:13">
      <c r="B44" s="37" t="s">
        <v>307</v>
      </c>
      <c r="C44" s="71">
        <f>C41</f>
        <v>0.54</v>
      </c>
      <c r="D44" s="128">
        <f t="shared" si="1"/>
        <v>4.2512545099175791E-2</v>
      </c>
      <c r="E44" s="128">
        <f t="shared" si="1"/>
        <v>0</v>
      </c>
      <c r="F44" s="128">
        <f t="shared" si="1"/>
        <v>0.14200917953012254</v>
      </c>
      <c r="G44" s="74">
        <f t="shared" si="1"/>
        <v>1</v>
      </c>
      <c r="H44" s="32">
        <f t="shared" si="0"/>
        <v>0.15991043282495529</v>
      </c>
      <c r="I44" s="687"/>
      <c r="J44" s="529"/>
      <c r="K44" s="529"/>
      <c r="L44" s="529"/>
      <c r="M44" s="530"/>
    </row>
    <row r="45" spans="2:13">
      <c r="B45" s="50" t="s">
        <v>309</v>
      </c>
      <c r="C45" s="294">
        <f>C42</f>
        <v>2.15</v>
      </c>
      <c r="D45" s="129">
        <f t="shared" si="1"/>
        <v>0.33326504028450177</v>
      </c>
      <c r="E45" s="129">
        <f t="shared" si="1"/>
        <v>6.8587080338675985E-2</v>
      </c>
      <c r="F45" s="129">
        <f t="shared" si="1"/>
        <v>0.41786293877014102</v>
      </c>
      <c r="G45" s="75">
        <f t="shared" si="1"/>
        <v>1</v>
      </c>
      <c r="H45" s="116">
        <f t="shared" si="0"/>
        <v>0.97809684442390876</v>
      </c>
      <c r="I45" s="688"/>
      <c r="J45" s="517"/>
      <c r="K45" s="517"/>
      <c r="L45" s="517"/>
      <c r="M45" s="518"/>
    </row>
    <row r="46" spans="2:13">
      <c r="B46" s="37" t="s">
        <v>70</v>
      </c>
      <c r="C46" s="70">
        <f>C43/3</f>
        <v>0.46666666666666662</v>
      </c>
      <c r="D46" s="128">
        <f t="shared" si="1"/>
        <v>0.18451250725619014</v>
      </c>
      <c r="E46" s="128">
        <f t="shared" si="1"/>
        <v>1.2857878981909876E-2</v>
      </c>
      <c r="F46" s="128">
        <f t="shared" si="1"/>
        <v>0.25781094919880576</v>
      </c>
      <c r="G46" s="74">
        <f t="shared" si="1"/>
        <v>1</v>
      </c>
      <c r="H46" s="32">
        <f t="shared" si="0"/>
        <v>0.16977115580097232</v>
      </c>
      <c r="I46" s="477" t="s">
        <v>313</v>
      </c>
      <c r="J46" s="357"/>
      <c r="K46" s="529"/>
      <c r="L46" s="529"/>
      <c r="M46" s="530"/>
    </row>
    <row r="47" spans="2:13">
      <c r="B47" s="37" t="s">
        <v>307</v>
      </c>
      <c r="C47" s="70">
        <f>C44/3</f>
        <v>0.18000000000000002</v>
      </c>
      <c r="D47" s="128">
        <f t="shared" si="1"/>
        <v>4.2512545099175791E-2</v>
      </c>
      <c r="E47" s="128">
        <f t="shared" si="1"/>
        <v>0</v>
      </c>
      <c r="F47" s="128">
        <f t="shared" si="1"/>
        <v>0.14200917953012254</v>
      </c>
      <c r="G47" s="74">
        <f t="shared" si="1"/>
        <v>1</v>
      </c>
      <c r="H47" s="32">
        <f t="shared" si="0"/>
        <v>5.3303477608318425E-2</v>
      </c>
      <c r="I47" s="515"/>
      <c r="J47" s="513"/>
      <c r="K47" s="513"/>
      <c r="L47" s="513"/>
      <c r="M47" s="514"/>
    </row>
    <row r="48" spans="2:13">
      <c r="B48" s="50" t="s">
        <v>309</v>
      </c>
      <c r="C48" s="124">
        <f>C45/3</f>
        <v>0.71666666666666667</v>
      </c>
      <c r="D48" s="129">
        <f t="shared" si="1"/>
        <v>0.33326504028450177</v>
      </c>
      <c r="E48" s="129">
        <f t="shared" si="1"/>
        <v>6.8587080338675985E-2</v>
      </c>
      <c r="F48" s="129">
        <f t="shared" si="1"/>
        <v>0.41786293877014102</v>
      </c>
      <c r="G48" s="75">
        <f t="shared" si="1"/>
        <v>1</v>
      </c>
      <c r="H48" s="116">
        <f t="shared" si="0"/>
        <v>0.32603228147463625</v>
      </c>
      <c r="I48" s="516"/>
      <c r="J48" s="517"/>
      <c r="K48" s="517"/>
      <c r="L48" s="517"/>
      <c r="M48" s="518"/>
    </row>
    <row r="49" spans="2:25">
      <c r="B49" s="114"/>
      <c r="C49" s="115"/>
      <c r="D49" s="99"/>
      <c r="E49" s="118"/>
      <c r="F49" s="118"/>
      <c r="G49" s="118"/>
      <c r="H49" s="118"/>
      <c r="I49" s="449"/>
      <c r="J49" s="449"/>
      <c r="K49" s="448"/>
      <c r="L49" s="448"/>
    </row>
    <row r="50" spans="2:25">
      <c r="D50" s="117" t="s">
        <v>297</v>
      </c>
      <c r="E50" s="117"/>
      <c r="I50" s="448"/>
      <c r="J50" s="448"/>
      <c r="K50" s="448"/>
      <c r="L50" s="448"/>
    </row>
    <row r="51" spans="2:25" ht="15.95">
      <c r="B51" s="519" t="s">
        <v>314</v>
      </c>
      <c r="C51" s="520" t="s">
        <v>299</v>
      </c>
      <c r="D51" s="521" t="s">
        <v>300</v>
      </c>
      <c r="E51" s="521" t="s">
        <v>301</v>
      </c>
      <c r="F51" s="521" t="s">
        <v>302</v>
      </c>
      <c r="G51" s="521" t="s">
        <v>303</v>
      </c>
      <c r="H51" s="522" t="s">
        <v>304</v>
      </c>
      <c r="I51" s="508" t="s">
        <v>305</v>
      </c>
      <c r="J51" s="509"/>
      <c r="K51" s="510"/>
      <c r="L51" s="510"/>
      <c r="M51" s="511"/>
    </row>
    <row r="52" spans="2:25">
      <c r="B52" s="37" t="s">
        <v>315</v>
      </c>
      <c r="C52" s="71">
        <v>4.5999999999999996</v>
      </c>
      <c r="D52" s="128">
        <f>F52</f>
        <v>0.625</v>
      </c>
      <c r="E52" s="128">
        <v>0.25</v>
      </c>
      <c r="F52" s="128">
        <f>E52+(0.75/2)</f>
        <v>0.625</v>
      </c>
      <c r="G52" s="74">
        <v>1</v>
      </c>
      <c r="H52" s="125">
        <f t="shared" ref="H52:H57" si="2">(D52+E52+F52+G52)*C52/4</f>
        <v>2.875</v>
      </c>
      <c r="I52" s="685" t="s">
        <v>316</v>
      </c>
      <c r="J52" s="526"/>
      <c r="K52" s="527"/>
      <c r="L52" s="527"/>
      <c r="M52" s="528"/>
    </row>
    <row r="53" spans="2:25">
      <c r="B53" s="37" t="s">
        <v>307</v>
      </c>
      <c r="C53" s="71">
        <v>0.6</v>
      </c>
      <c r="D53" s="74">
        <v>0.5</v>
      </c>
      <c r="E53" s="74">
        <v>0</v>
      </c>
      <c r="F53" s="74">
        <v>0.5</v>
      </c>
      <c r="G53" s="74">
        <v>1</v>
      </c>
      <c r="H53" s="125">
        <f t="shared" si="2"/>
        <v>0.3</v>
      </c>
      <c r="I53" s="477"/>
      <c r="J53" s="357"/>
      <c r="K53" s="529"/>
      <c r="L53" s="529"/>
      <c r="M53" s="530"/>
    </row>
    <row r="54" spans="2:25">
      <c r="B54" s="50" t="s">
        <v>309</v>
      </c>
      <c r="C54" s="80">
        <v>9.9</v>
      </c>
      <c r="D54" s="129">
        <v>0.75</v>
      </c>
      <c r="E54" s="75">
        <v>0.5</v>
      </c>
      <c r="F54" s="129">
        <v>0.75</v>
      </c>
      <c r="G54" s="75">
        <v>1</v>
      </c>
      <c r="H54" s="126">
        <f t="shared" si="2"/>
        <v>7.4250000000000007</v>
      </c>
      <c r="I54" s="686" t="s">
        <v>317</v>
      </c>
      <c r="J54" s="531"/>
      <c r="K54" s="517"/>
      <c r="L54" s="517"/>
      <c r="M54" s="518"/>
    </row>
    <row r="55" spans="2:25">
      <c r="B55" s="37" t="s">
        <v>318</v>
      </c>
      <c r="C55" s="71">
        <v>18.2</v>
      </c>
      <c r="D55" s="128">
        <f t="shared" ref="D55:G57" si="3">D34</f>
        <v>0.18451250725619014</v>
      </c>
      <c r="E55" s="128">
        <f t="shared" si="3"/>
        <v>1.2857878981909876E-2</v>
      </c>
      <c r="F55" s="128">
        <f t="shared" si="3"/>
        <v>0.25781094919880576</v>
      </c>
      <c r="G55" s="128">
        <f t="shared" si="3"/>
        <v>1</v>
      </c>
      <c r="H55" s="125">
        <f t="shared" si="2"/>
        <v>6.6210750762379211</v>
      </c>
      <c r="I55" s="477" t="s">
        <v>319</v>
      </c>
      <c r="J55" s="357"/>
      <c r="K55" s="529"/>
      <c r="L55" s="529"/>
      <c r="M55" s="530"/>
    </row>
    <row r="56" spans="2:25">
      <c r="B56" s="37" t="s">
        <v>307</v>
      </c>
      <c r="C56" s="71">
        <v>15</v>
      </c>
      <c r="D56" s="128">
        <f t="shared" si="3"/>
        <v>4.2512545099175791E-2</v>
      </c>
      <c r="E56" s="128">
        <f t="shared" si="3"/>
        <v>0</v>
      </c>
      <c r="F56" s="128">
        <f t="shared" si="3"/>
        <v>0.14200917953012254</v>
      </c>
      <c r="G56" s="128">
        <f t="shared" si="3"/>
        <v>1</v>
      </c>
      <c r="H56" s="125">
        <f t="shared" si="2"/>
        <v>4.4419564673598684</v>
      </c>
      <c r="I56" s="512"/>
      <c r="J56" s="513"/>
      <c r="K56" s="513"/>
      <c r="L56" s="513"/>
      <c r="M56" s="514"/>
    </row>
    <row r="57" spans="2:25">
      <c r="B57" s="50" t="s">
        <v>309</v>
      </c>
      <c r="C57" s="80">
        <v>21.8</v>
      </c>
      <c r="D57" s="129">
        <f t="shared" si="3"/>
        <v>0.33326504028450177</v>
      </c>
      <c r="E57" s="129">
        <f t="shared" si="3"/>
        <v>6.8587080338675985E-2</v>
      </c>
      <c r="F57" s="129">
        <f t="shared" si="3"/>
        <v>0.41786293877014102</v>
      </c>
      <c r="G57" s="129">
        <f t="shared" si="3"/>
        <v>1</v>
      </c>
      <c r="H57" s="126">
        <f t="shared" si="2"/>
        <v>9.9174470736935874</v>
      </c>
      <c r="I57" s="523"/>
      <c r="J57" s="524"/>
      <c r="K57" s="524"/>
      <c r="L57" s="524"/>
      <c r="M57" s="525"/>
    </row>
    <row r="58" spans="2:25">
      <c r="B58" s="114"/>
      <c r="C58" s="115"/>
      <c r="D58" s="9"/>
      <c r="E58" s="9"/>
      <c r="F58" s="9"/>
      <c r="G58" s="9"/>
      <c r="H58" s="9"/>
      <c r="I58" s="9"/>
      <c r="J58" s="9"/>
      <c r="K58" s="9"/>
      <c r="L58" s="9"/>
      <c r="M58" s="9"/>
      <c r="N58" s="9"/>
      <c r="O58" s="9"/>
      <c r="P58" s="9"/>
      <c r="Q58" s="9"/>
      <c r="R58" s="9"/>
    </row>
    <row r="59" spans="2:25">
      <c r="B59" s="114"/>
      <c r="C59" s="115"/>
      <c r="D59" s="9"/>
      <c r="E59" s="9"/>
      <c r="F59" s="9"/>
      <c r="G59" s="9"/>
      <c r="H59" s="9"/>
      <c r="I59" s="9"/>
      <c r="J59" s="9"/>
      <c r="K59" s="9"/>
      <c r="L59" s="9"/>
      <c r="M59" s="9"/>
      <c r="N59" s="9"/>
      <c r="O59" s="9"/>
      <c r="P59" s="9"/>
      <c r="Q59" s="9"/>
      <c r="R59" s="9"/>
    </row>
    <row r="60" spans="2:25">
      <c r="B60" s="532" t="s">
        <v>320</v>
      </c>
      <c r="C60" s="533"/>
      <c r="D60" s="534"/>
      <c r="E60" s="534"/>
      <c r="F60" s="534"/>
      <c r="G60" s="534"/>
    </row>
    <row r="61" spans="2:25">
      <c r="B61" s="9"/>
      <c r="C61" s="356"/>
      <c r="D61" s="535" t="s">
        <v>300</v>
      </c>
      <c r="E61" s="535" t="s">
        <v>301</v>
      </c>
      <c r="F61" s="535" t="s">
        <v>302</v>
      </c>
      <c r="G61" s="535" t="s">
        <v>303</v>
      </c>
      <c r="H61" s="9"/>
      <c r="L61" s="9"/>
      <c r="M61" s="9"/>
      <c r="N61" s="9"/>
      <c r="O61" s="9"/>
      <c r="P61" s="9"/>
      <c r="Q61" s="9"/>
      <c r="R61" s="9"/>
      <c r="S61" s="9"/>
      <c r="T61" s="9"/>
      <c r="U61" s="9"/>
      <c r="V61" s="9"/>
      <c r="W61" s="9"/>
      <c r="X61" s="9"/>
      <c r="Y61" s="9"/>
    </row>
    <row r="62" spans="2:25">
      <c r="B62" s="9"/>
      <c r="C62" s="3" t="s">
        <v>321</v>
      </c>
      <c r="D62" s="536">
        <f>MAX(C70:C111)</f>
        <v>0.33326504028450177</v>
      </c>
      <c r="E62" s="536">
        <f>MAX(D70:D111)</f>
        <v>6.8587080338675985E-2</v>
      </c>
      <c r="F62" s="536">
        <f>MAX(E70:E111)</f>
        <v>0.41786293877014102</v>
      </c>
      <c r="G62" s="536">
        <v>1</v>
      </c>
      <c r="H62" s="9"/>
      <c r="L62" s="9"/>
      <c r="M62" s="9"/>
      <c r="N62" s="9"/>
      <c r="O62" s="9"/>
      <c r="P62" s="9"/>
      <c r="Q62" s="9"/>
      <c r="R62" s="9"/>
      <c r="S62" s="9"/>
      <c r="T62" s="9"/>
      <c r="U62" s="9"/>
      <c r="V62" s="9"/>
      <c r="W62" s="9"/>
      <c r="X62" s="9"/>
      <c r="Y62" s="9"/>
    </row>
    <row r="63" spans="2:25">
      <c r="B63" s="9"/>
      <c r="C63" s="3" t="s">
        <v>322</v>
      </c>
      <c r="D63" s="536">
        <f>MIN(C$70:C$111)</f>
        <v>4.2512545099175791E-2</v>
      </c>
      <c r="E63" s="536">
        <f>MIN(D70:D111)</f>
        <v>0</v>
      </c>
      <c r="F63" s="536">
        <f>MIN(E70:E111)</f>
        <v>0.14200917953012254</v>
      </c>
      <c r="G63" s="536">
        <v>1</v>
      </c>
      <c r="H63" s="9"/>
      <c r="L63" s="9"/>
      <c r="M63" s="9"/>
      <c r="N63" s="9"/>
      <c r="O63" s="9"/>
      <c r="P63" s="9"/>
      <c r="Q63" s="9"/>
      <c r="R63" s="9"/>
      <c r="S63" s="9"/>
      <c r="T63" s="9"/>
      <c r="U63" s="9"/>
      <c r="V63" s="9"/>
      <c r="W63" s="9"/>
      <c r="X63" s="9"/>
      <c r="Y63" s="9"/>
    </row>
    <row r="64" spans="2:25">
      <c r="B64" s="9"/>
      <c r="C64" s="3" t="s">
        <v>323</v>
      </c>
      <c r="D64" s="536">
        <f>AVERAGE(C$70:C$111)</f>
        <v>0.18451250725619014</v>
      </c>
      <c r="E64" s="536">
        <f>AVERAGE(D$70:D$111)</f>
        <v>1.2857878981909876E-2</v>
      </c>
      <c r="F64" s="536">
        <f>AVERAGE(E$70:E$111)</f>
        <v>0.25781094919880576</v>
      </c>
      <c r="G64" s="536">
        <f>AVERAGE(F$70:F$111)</f>
        <v>1</v>
      </c>
      <c r="H64" s="9"/>
    </row>
    <row r="65" spans="1:23">
      <c r="B65" s="9"/>
      <c r="C65" s="9"/>
      <c r="D65" s="300"/>
      <c r="E65" s="300"/>
      <c r="F65" s="300"/>
      <c r="G65" s="300"/>
      <c r="H65" s="300"/>
      <c r="I65" s="293"/>
      <c r="J65" s="293"/>
      <c r="K65" s="293"/>
    </row>
    <row r="66" spans="1:23">
      <c r="A66" s="9"/>
      <c r="B66" s="2" t="s">
        <v>324</v>
      </c>
      <c r="C66" s="9"/>
      <c r="D66" s="9"/>
      <c r="E66" s="9"/>
      <c r="F66" s="9"/>
      <c r="G66" s="9"/>
      <c r="H66" s="9"/>
      <c r="I66" s="9"/>
      <c r="J66" s="9"/>
      <c r="K66" s="9"/>
      <c r="L66" s="9"/>
      <c r="M66" s="9"/>
      <c r="N66" s="9"/>
      <c r="O66" s="9"/>
      <c r="P66" s="9"/>
      <c r="Q66" s="9"/>
      <c r="R66" s="9"/>
      <c r="S66" s="9"/>
      <c r="T66" s="9"/>
      <c r="U66" s="9"/>
      <c r="V66" s="9"/>
      <c r="W66" s="9"/>
    </row>
    <row r="67" spans="1:23">
      <c r="A67" s="9"/>
      <c r="B67" s="298"/>
      <c r="C67" s="9"/>
      <c r="D67" s="9"/>
      <c r="E67" s="9"/>
      <c r="F67" s="9"/>
      <c r="G67" s="9"/>
      <c r="H67" s="9"/>
      <c r="I67" s="9"/>
      <c r="J67" s="9"/>
      <c r="K67" s="9"/>
      <c r="L67" s="9"/>
      <c r="M67" s="9"/>
      <c r="N67" s="9"/>
      <c r="O67" s="9"/>
      <c r="P67" s="9"/>
      <c r="Q67" s="9"/>
      <c r="R67" s="9"/>
      <c r="S67" s="9"/>
      <c r="T67" s="9"/>
      <c r="U67" s="9"/>
      <c r="V67" s="9"/>
      <c r="W67" s="9"/>
    </row>
    <row r="68" spans="1:23">
      <c r="A68" s="299"/>
      <c r="B68" s="207" t="s">
        <v>325</v>
      </c>
      <c r="C68" s="127" t="s">
        <v>300</v>
      </c>
      <c r="D68" s="127" t="s">
        <v>301</v>
      </c>
      <c r="E68" s="127" t="s">
        <v>302</v>
      </c>
      <c r="F68" s="127" t="s">
        <v>303</v>
      </c>
      <c r="G68" s="304" t="s">
        <v>326</v>
      </c>
      <c r="H68" s="304" t="s">
        <v>327</v>
      </c>
      <c r="I68" s="304" t="s">
        <v>328</v>
      </c>
      <c r="J68" s="304" t="s">
        <v>329</v>
      </c>
      <c r="K68" s="304" t="s">
        <v>330</v>
      </c>
      <c r="L68" s="304" t="s">
        <v>331</v>
      </c>
      <c r="M68" s="304" t="s">
        <v>332</v>
      </c>
      <c r="N68" s="304" t="s">
        <v>333</v>
      </c>
      <c r="O68" s="304" t="s">
        <v>334</v>
      </c>
      <c r="P68" s="304" t="s">
        <v>335</v>
      </c>
      <c r="Q68" s="304" t="s">
        <v>336</v>
      </c>
      <c r="R68" s="304" t="s">
        <v>337</v>
      </c>
    </row>
    <row r="69" spans="1:23">
      <c r="A69" s="299"/>
      <c r="C69" s="9"/>
      <c r="D69" s="9"/>
      <c r="E69" s="9"/>
      <c r="F69" s="9"/>
      <c r="G69" s="302"/>
      <c r="H69" s="302"/>
      <c r="I69" s="302"/>
      <c r="J69" s="302"/>
      <c r="K69" s="302"/>
      <c r="L69" s="302"/>
      <c r="M69" s="302"/>
      <c r="N69" s="302"/>
      <c r="O69" s="302"/>
      <c r="P69" s="302"/>
      <c r="Q69" s="302"/>
      <c r="R69" s="302"/>
    </row>
    <row r="70" spans="1:23">
      <c r="A70" s="151">
        <v>2014</v>
      </c>
      <c r="B70" s="301" t="s">
        <v>338</v>
      </c>
      <c r="C70" s="305">
        <f t="shared" ref="C70:C111" si="4">(O70+P70+Q70)/($L70+$M70+$N70)</f>
        <v>0.19109455741784578</v>
      </c>
      <c r="D70" s="305">
        <f t="shared" ref="D70:D111" si="5">(G70+H70+R70)/($L70+$M70+$N70)</f>
        <v>3.8506817603589593E-3</v>
      </c>
      <c r="E70" s="305">
        <f t="shared" ref="E70:E111" si="6">(I70+J70+K70)/($L70+$M70+$N70)</f>
        <v>0.22552982998691495</v>
      </c>
      <c r="F70" s="305">
        <v>1</v>
      </c>
      <c r="G70" s="303">
        <v>2.7215678371545356E-3</v>
      </c>
      <c r="H70" s="303">
        <v>2.7215678371545356E-3</v>
      </c>
      <c r="I70" s="303">
        <v>3.265766807192437E-2</v>
      </c>
      <c r="J70" s="303">
        <v>0.10716961975591502</v>
      </c>
      <c r="K70" s="303">
        <v>0.49776190652974467</v>
      </c>
      <c r="L70" s="303">
        <v>0.92916700220712822</v>
      </c>
      <c r="M70" s="303">
        <v>1</v>
      </c>
      <c r="N70" s="303">
        <v>0.89790556018772771</v>
      </c>
      <c r="O70" s="303">
        <v>0.40424210733802862</v>
      </c>
      <c r="P70" s="303">
        <v>0.11830628291032265</v>
      </c>
      <c r="Q70" s="303">
        <v>1.7689789850628957E-2</v>
      </c>
      <c r="R70" s="303">
        <v>5.4430210769160674E-3</v>
      </c>
    </row>
    <row r="71" spans="1:23">
      <c r="A71" s="151">
        <v>2014</v>
      </c>
      <c r="B71" s="301" t="s">
        <v>339</v>
      </c>
      <c r="C71" s="305">
        <f t="shared" si="4"/>
        <v>0.13155247836170456</v>
      </c>
      <c r="D71" s="305">
        <f t="shared" si="5"/>
        <v>0</v>
      </c>
      <c r="E71" s="305">
        <f t="shared" si="6"/>
        <v>0.20416810688741455</v>
      </c>
      <c r="F71" s="305">
        <v>1</v>
      </c>
      <c r="G71" s="303">
        <v>0</v>
      </c>
      <c r="H71" s="303">
        <v>0</v>
      </c>
      <c r="I71" s="303">
        <v>0</v>
      </c>
      <c r="J71" s="303">
        <v>8.0861222410555447E-2</v>
      </c>
      <c r="K71" s="303">
        <v>0.49590294517521422</v>
      </c>
      <c r="L71" s="303">
        <v>0.92576288362775372</v>
      </c>
      <c r="M71" s="303">
        <v>1</v>
      </c>
      <c r="N71" s="303">
        <v>0.89918454023124084</v>
      </c>
      <c r="O71" s="303">
        <v>0.30423945232376964</v>
      </c>
      <c r="P71" s="303">
        <v>6.2397619185543672E-2</v>
      </c>
      <c r="Q71" s="303">
        <v>4.9917633408501872E-3</v>
      </c>
      <c r="R71" s="303">
        <v>0</v>
      </c>
    </row>
    <row r="72" spans="1:23">
      <c r="A72" s="151">
        <v>2014</v>
      </c>
      <c r="B72" s="301" t="s">
        <v>340</v>
      </c>
      <c r="C72" s="305">
        <f t="shared" si="4"/>
        <v>0.14303044613779231</v>
      </c>
      <c r="D72" s="305">
        <f t="shared" si="5"/>
        <v>0</v>
      </c>
      <c r="E72" s="305">
        <f t="shared" si="6"/>
        <v>0.20794997768693765</v>
      </c>
      <c r="F72" s="305">
        <v>1</v>
      </c>
      <c r="G72" s="303">
        <v>0</v>
      </c>
      <c r="H72" s="303">
        <v>0</v>
      </c>
      <c r="I72" s="303">
        <v>0</v>
      </c>
      <c r="J72" s="303">
        <v>5.3615587390517687E-2</v>
      </c>
      <c r="K72" s="303">
        <v>0.51865301606339931</v>
      </c>
      <c r="L72" s="303">
        <v>0.88339456178499454</v>
      </c>
      <c r="M72" s="303">
        <v>1</v>
      </c>
      <c r="N72" s="303">
        <v>0.86855862339615431</v>
      </c>
      <c r="O72" s="303">
        <v>0.32967990534367286</v>
      </c>
      <c r="P72" s="303">
        <v>5.8084213313230819E-2</v>
      </c>
      <c r="Q72" s="303">
        <v>5.848973169874659E-3</v>
      </c>
      <c r="R72" s="303">
        <v>0</v>
      </c>
    </row>
    <row r="73" spans="1:23">
      <c r="A73" s="151">
        <v>2014</v>
      </c>
      <c r="B73" s="301" t="s">
        <v>341</v>
      </c>
      <c r="C73" s="305">
        <f t="shared" si="4"/>
        <v>0.13843940901989507</v>
      </c>
      <c r="D73" s="305">
        <f t="shared" si="5"/>
        <v>8.024446724208418E-4</v>
      </c>
      <c r="E73" s="305">
        <f t="shared" si="6"/>
        <v>0.20350716629219484</v>
      </c>
      <c r="F73" s="305">
        <v>1</v>
      </c>
      <c r="G73" s="303">
        <v>0</v>
      </c>
      <c r="H73" s="303">
        <v>0</v>
      </c>
      <c r="I73" s="303">
        <v>0</v>
      </c>
      <c r="J73" s="303">
        <v>8.1099290525246753E-2</v>
      </c>
      <c r="K73" s="303">
        <v>0.48319389713471855</v>
      </c>
      <c r="L73" s="303">
        <v>0.86093658568372544</v>
      </c>
      <c r="M73" s="303">
        <v>1</v>
      </c>
      <c r="N73" s="303">
        <v>0.91190526525018811</v>
      </c>
      <c r="O73" s="303">
        <v>0.29859119644204507</v>
      </c>
      <c r="P73" s="303">
        <v>7.3863166565750898E-2</v>
      </c>
      <c r="Q73" s="303">
        <v>1.141622414112701E-2</v>
      </c>
      <c r="R73" s="303">
        <v>2.2250521707474651E-3</v>
      </c>
    </row>
    <row r="74" spans="1:23">
      <c r="A74" s="151">
        <v>2014</v>
      </c>
      <c r="B74" s="151" t="s">
        <v>342</v>
      </c>
      <c r="C74" s="305">
        <f t="shared" si="4"/>
        <v>0.23735845604126901</v>
      </c>
      <c r="D74" s="305">
        <f t="shared" si="5"/>
        <v>1.1225506170842826E-2</v>
      </c>
      <c r="E74" s="305">
        <f t="shared" si="6"/>
        <v>0.3304625149568256</v>
      </c>
      <c r="F74" s="305">
        <v>1</v>
      </c>
      <c r="G74" s="303">
        <v>7.159521428843213E-3</v>
      </c>
      <c r="H74" s="303">
        <v>1.2844346985901388E-2</v>
      </c>
      <c r="I74" s="303">
        <v>3.9058348433413763E-2</v>
      </c>
      <c r="J74" s="303">
        <v>0.14171206686786991</v>
      </c>
      <c r="K74" s="303">
        <v>0.77695452393899633</v>
      </c>
      <c r="L74" s="303">
        <v>0.98673757324745504</v>
      </c>
      <c r="M74" s="303">
        <v>1</v>
      </c>
      <c r="N74" s="303">
        <v>0.91139730103747019</v>
      </c>
      <c r="O74" s="303">
        <v>0.44802915452300124</v>
      </c>
      <c r="P74" s="303">
        <v>0.19371545311114152</v>
      </c>
      <c r="Q74" s="303">
        <v>4.6152211525484356E-2</v>
      </c>
      <c r="R74" s="303">
        <v>1.2529162500475623E-2</v>
      </c>
    </row>
    <row r="75" spans="1:23">
      <c r="A75" s="151">
        <v>2011</v>
      </c>
      <c r="B75" s="151" t="s">
        <v>343</v>
      </c>
      <c r="C75" s="305">
        <f t="shared" si="4"/>
        <v>0.17648531740585235</v>
      </c>
      <c r="D75" s="305">
        <f t="shared" si="5"/>
        <v>3.1927720637928952E-2</v>
      </c>
      <c r="E75" s="305">
        <f t="shared" si="6"/>
        <v>0.30237856038327515</v>
      </c>
      <c r="F75" s="305">
        <v>1</v>
      </c>
      <c r="G75" s="303">
        <v>2.3711159935686371E-2</v>
      </c>
      <c r="H75" s="303">
        <v>3.2594480146447426E-2</v>
      </c>
      <c r="I75" s="303">
        <v>6.883788091079697E-2</v>
      </c>
      <c r="J75" s="303">
        <v>0.16727168470850223</v>
      </c>
      <c r="K75" s="303">
        <v>0.63267435968411501</v>
      </c>
      <c r="L75" s="303">
        <v>0.93888159760601375</v>
      </c>
      <c r="M75" s="303">
        <v>1</v>
      </c>
      <c r="N75" s="303">
        <v>0.93428482068171448</v>
      </c>
      <c r="O75" s="303">
        <v>0.29542364000775928</v>
      </c>
      <c r="P75" s="303">
        <v>0.14507112126173538</v>
      </c>
      <c r="Q75" s="303">
        <v>6.6576926021851057E-2</v>
      </c>
      <c r="R75" s="303">
        <v>3.5428014667235719E-2</v>
      </c>
    </row>
    <row r="76" spans="1:23">
      <c r="A76" s="151">
        <v>2011</v>
      </c>
      <c r="B76" s="151" t="s">
        <v>344</v>
      </c>
      <c r="C76" s="305">
        <f t="shared" si="4"/>
        <v>0.23840647928098269</v>
      </c>
      <c r="D76" s="305">
        <f t="shared" si="5"/>
        <v>3.3387776949713559E-2</v>
      </c>
      <c r="E76" s="305">
        <f t="shared" si="6"/>
        <v>0.37272573494120403</v>
      </c>
      <c r="F76" s="305">
        <v>1</v>
      </c>
      <c r="G76" s="303">
        <v>3.1914369331567313E-2</v>
      </c>
      <c r="H76" s="303">
        <v>2.8494039697159752E-2</v>
      </c>
      <c r="I76" s="303">
        <v>9.1609834378441571E-2</v>
      </c>
      <c r="J76" s="303">
        <v>0.24652897285190062</v>
      </c>
      <c r="K76" s="303">
        <v>0.7090172935657858</v>
      </c>
      <c r="L76" s="303">
        <v>0.92378292221199421</v>
      </c>
      <c r="M76" s="303">
        <v>1</v>
      </c>
      <c r="N76" s="303">
        <v>0.88567186620317295</v>
      </c>
      <c r="O76" s="303">
        <v>0.37171385908817334</v>
      </c>
      <c r="P76" s="303">
        <v>0.20580260815015142</v>
      </c>
      <c r="Q76" s="303">
        <v>9.2275757566833413E-2</v>
      </c>
      <c r="R76" s="303">
        <v>3.3393040797183221E-2</v>
      </c>
    </row>
    <row r="77" spans="1:23">
      <c r="A77" s="151">
        <v>2010</v>
      </c>
      <c r="B77" s="151" t="s">
        <v>345</v>
      </c>
      <c r="C77" s="305">
        <f t="shared" si="4"/>
        <v>0.19922542519041911</v>
      </c>
      <c r="D77" s="305">
        <f t="shared" si="5"/>
        <v>5.5666039139931225E-8</v>
      </c>
      <c r="E77" s="305">
        <f t="shared" si="6"/>
        <v>0.23389352113766362</v>
      </c>
      <c r="F77" s="305">
        <v>1</v>
      </c>
      <c r="G77" s="303">
        <v>0</v>
      </c>
      <c r="H77" s="303">
        <v>0</v>
      </c>
      <c r="I77" s="303">
        <v>3.8197334247923538E-7</v>
      </c>
      <c r="J77" s="303">
        <v>6.8308923662127069E-2</v>
      </c>
      <c r="K77" s="303">
        <v>0.61952548889652814</v>
      </c>
      <c r="L77" s="303">
        <v>1.0279757928039879</v>
      </c>
      <c r="M77" s="303">
        <v>1</v>
      </c>
      <c r="N77" s="303">
        <v>0.91282731788652216</v>
      </c>
      <c r="O77" s="303">
        <v>0.46771194539884758</v>
      </c>
      <c r="P77" s="303">
        <v>0.10083478663063757</v>
      </c>
      <c r="Q77" s="303">
        <v>1.7336018099138841E-2</v>
      </c>
      <c r="R77" s="303">
        <v>1.6370286106252942E-7</v>
      </c>
    </row>
    <row r="78" spans="1:23">
      <c r="A78" s="151">
        <v>2012</v>
      </c>
      <c r="B78" s="151" t="s">
        <v>346</v>
      </c>
      <c r="C78" s="305">
        <f t="shared" si="4"/>
        <v>0.14987972214769138</v>
      </c>
      <c r="D78" s="305">
        <f t="shared" si="5"/>
        <v>1.0018999136820653E-2</v>
      </c>
      <c r="E78" s="305">
        <f t="shared" si="6"/>
        <v>0.25297974324001854</v>
      </c>
      <c r="F78" s="305">
        <v>1</v>
      </c>
      <c r="G78" s="303">
        <v>7.1835187236070049E-3</v>
      </c>
      <c r="H78" s="303">
        <v>7.1835187236070049E-3</v>
      </c>
      <c r="I78" s="303">
        <v>2.4090531373683197E-2</v>
      </c>
      <c r="J78" s="303">
        <v>8.2233330227201751E-2</v>
      </c>
      <c r="K78" s="303">
        <v>0.6183286199521657</v>
      </c>
      <c r="L78" s="303">
        <v>0.96401002876794462</v>
      </c>
      <c r="M78" s="303">
        <v>1</v>
      </c>
      <c r="N78" s="303">
        <v>0.90045837598304401</v>
      </c>
      <c r="O78" s="303">
        <v>0.31238838795011414</v>
      </c>
      <c r="P78" s="303">
        <v>8.7593156608149286E-2</v>
      </c>
      <c r="Q78" s="303">
        <v>2.9344184046655574E-2</v>
      </c>
      <c r="R78" s="303">
        <v>1.4332069027436181E-2</v>
      </c>
    </row>
    <row r="79" spans="1:23">
      <c r="A79" s="151">
        <v>2012</v>
      </c>
      <c r="B79" s="151" t="s">
        <v>347</v>
      </c>
      <c r="C79" s="305">
        <f t="shared" si="4"/>
        <v>0.31860313046326538</v>
      </c>
      <c r="D79" s="305">
        <f t="shared" si="5"/>
        <v>6.8587080338675985E-2</v>
      </c>
      <c r="E79" s="305">
        <f t="shared" si="6"/>
        <v>0.41786293877014102</v>
      </c>
      <c r="F79" s="305">
        <v>1</v>
      </c>
      <c r="G79" s="303">
        <v>6.7165117122344867E-2</v>
      </c>
      <c r="H79" s="303">
        <v>6.1209106855816271E-2</v>
      </c>
      <c r="I79" s="303">
        <v>0.13626919062491685</v>
      </c>
      <c r="J79" s="303">
        <v>0.27418328679588988</v>
      </c>
      <c r="K79" s="303">
        <v>0.78926616285691009</v>
      </c>
      <c r="L79" s="303">
        <v>0.96254260457036944</v>
      </c>
      <c r="M79" s="303">
        <v>1</v>
      </c>
      <c r="N79" s="303">
        <v>0.90853910420414541</v>
      </c>
      <c r="O79" s="303">
        <v>0.40858487343421246</v>
      </c>
      <c r="P79" s="303">
        <v>0.31809099649718869</v>
      </c>
      <c r="Q79" s="303">
        <v>0.18805975029998054</v>
      </c>
      <c r="R79" s="303">
        <v>6.8544887840459617E-2</v>
      </c>
    </row>
    <row r="80" spans="1:23">
      <c r="A80" s="151">
        <v>2010</v>
      </c>
      <c r="B80" s="151" t="s">
        <v>348</v>
      </c>
      <c r="C80" s="305">
        <f t="shared" si="4"/>
        <v>0.20607183802335446</v>
      </c>
      <c r="D80" s="305">
        <f t="shared" si="5"/>
        <v>5.9871480656508869E-3</v>
      </c>
      <c r="E80" s="305">
        <f t="shared" si="6"/>
        <v>0.25822373028196444</v>
      </c>
      <c r="F80" s="305">
        <v>1</v>
      </c>
      <c r="G80" s="303">
        <v>3.4761303243148532E-3</v>
      </c>
      <c r="H80" s="303">
        <v>4.0606348769644017E-3</v>
      </c>
      <c r="I80" s="303">
        <v>2.1011266903801298E-2</v>
      </c>
      <c r="J80" s="303">
        <v>0.11764576626605226</v>
      </c>
      <c r="K80" s="303">
        <v>0.61362991879921236</v>
      </c>
      <c r="L80" s="303">
        <v>0.97368534071652157</v>
      </c>
      <c r="M80" s="303">
        <v>1</v>
      </c>
      <c r="N80" s="303">
        <v>0.93962921464062876</v>
      </c>
      <c r="O80" s="303">
        <v>0.41505814535191127</v>
      </c>
      <c r="P80" s="303">
        <v>0.13992428155723211</v>
      </c>
      <c r="Q80" s="303">
        <v>4.5369658253496245E-2</v>
      </c>
      <c r="R80" s="303">
        <v>9.9056804034598819E-3</v>
      </c>
    </row>
    <row r="81" spans="1:18">
      <c r="A81" s="151">
        <v>2010</v>
      </c>
      <c r="B81" s="151" t="s">
        <v>349</v>
      </c>
      <c r="C81" s="305">
        <f t="shared" si="4"/>
        <v>0.33326504028450177</v>
      </c>
      <c r="D81" s="305">
        <f t="shared" si="5"/>
        <v>2.171214955983717E-2</v>
      </c>
      <c r="E81" s="305">
        <f t="shared" si="6"/>
        <v>0.39789792060543011</v>
      </c>
      <c r="F81" s="305">
        <v>1</v>
      </c>
      <c r="G81" s="303">
        <v>1.7528414518754906E-2</v>
      </c>
      <c r="H81" s="303">
        <v>1.8520666811358555E-2</v>
      </c>
      <c r="I81" s="303">
        <v>7.9995606721016702E-2</v>
      </c>
      <c r="J81" s="303">
        <v>0.29472805050031425</v>
      </c>
      <c r="K81" s="303">
        <v>0.80326828878801115</v>
      </c>
      <c r="L81" s="303">
        <v>0.99482179500888268</v>
      </c>
      <c r="M81" s="303">
        <v>1</v>
      </c>
      <c r="N81" s="303">
        <v>0.96571628525286657</v>
      </c>
      <c r="O81" s="303">
        <v>0.53019400116655291</v>
      </c>
      <c r="P81" s="303">
        <v>0.33167647395775046</v>
      </c>
      <c r="Q81" s="303">
        <v>0.12477336745793007</v>
      </c>
      <c r="R81" s="303">
        <v>2.8230564246122854E-2</v>
      </c>
    </row>
    <row r="82" spans="1:18">
      <c r="A82" s="151">
        <v>2010</v>
      </c>
      <c r="B82" s="151" t="s">
        <v>350</v>
      </c>
      <c r="C82" s="305">
        <f t="shared" si="4"/>
        <v>0.14834311800388883</v>
      </c>
      <c r="D82" s="305">
        <f t="shared" si="5"/>
        <v>1.2353974121575175E-2</v>
      </c>
      <c r="E82" s="305">
        <f t="shared" si="6"/>
        <v>0.22339036778639945</v>
      </c>
      <c r="F82" s="305">
        <v>1</v>
      </c>
      <c r="G82" s="303">
        <v>1.1610859854586198E-2</v>
      </c>
      <c r="H82" s="303">
        <v>1.1610777464988967E-2</v>
      </c>
      <c r="I82" s="303">
        <v>1.9055858334175741E-2</v>
      </c>
      <c r="J82" s="303">
        <v>0.11146877309995357</v>
      </c>
      <c r="K82" s="303">
        <v>0.4993314677479907</v>
      </c>
      <c r="L82" s="303">
        <v>0.95162750684543373</v>
      </c>
      <c r="M82" s="303">
        <v>1</v>
      </c>
      <c r="N82" s="303">
        <v>0.8679036368803934</v>
      </c>
      <c r="O82" s="303">
        <v>0.31709896820010364</v>
      </c>
      <c r="P82" s="303">
        <v>8.1252625826127384E-2</v>
      </c>
      <c r="Q82" s="303">
        <v>1.9906447143129082E-2</v>
      </c>
      <c r="R82" s="303">
        <v>1.1610777464988967E-2</v>
      </c>
    </row>
    <row r="83" spans="1:18">
      <c r="A83" s="151">
        <v>2010</v>
      </c>
      <c r="B83" s="151" t="s">
        <v>351</v>
      </c>
      <c r="C83" s="305">
        <f t="shared" si="4"/>
        <v>0.15842268970229345</v>
      </c>
      <c r="D83" s="305">
        <f t="shared" si="5"/>
        <v>1.7736522646182563E-2</v>
      </c>
      <c r="E83" s="305">
        <f t="shared" si="6"/>
        <v>0.20272107356197447</v>
      </c>
      <c r="F83" s="305">
        <v>1</v>
      </c>
      <c r="G83" s="303">
        <v>1.4910600172267805E-2</v>
      </c>
      <c r="H83" s="303">
        <v>1.4910600172267805E-2</v>
      </c>
      <c r="I83" s="303">
        <v>1.6358439851457053E-2</v>
      </c>
      <c r="J83" s="303">
        <v>8.8069025766037562E-2</v>
      </c>
      <c r="K83" s="303">
        <v>0.45348322211555309</v>
      </c>
      <c r="L83" s="303">
        <v>0.92256708157416067</v>
      </c>
      <c r="M83" s="303">
        <v>1</v>
      </c>
      <c r="N83" s="303">
        <v>0.82954288869238513</v>
      </c>
      <c r="O83" s="303">
        <v>0.32558977561973257</v>
      </c>
      <c r="P83" s="303">
        <v>9.0646641369030237E-2</v>
      </c>
      <c r="Q83" s="303">
        <v>1.9760246857362211E-2</v>
      </c>
      <c r="R83" s="303">
        <v>1.8991660467881796E-2</v>
      </c>
    </row>
    <row r="84" spans="1:18">
      <c r="A84" s="151">
        <v>2010</v>
      </c>
      <c r="B84" s="151" t="s">
        <v>352</v>
      </c>
      <c r="C84" s="305">
        <f t="shared" si="4"/>
        <v>0.16015141628096122</v>
      </c>
      <c r="D84" s="305">
        <f t="shared" si="5"/>
        <v>6.8898580266984373E-3</v>
      </c>
      <c r="E84" s="305">
        <f t="shared" si="6"/>
        <v>0.18480946287306368</v>
      </c>
      <c r="F84" s="305">
        <v>1</v>
      </c>
      <c r="G84" s="303">
        <v>6.6189106070077396E-3</v>
      </c>
      <c r="H84" s="303">
        <v>6.6189106070077396E-3</v>
      </c>
      <c r="I84" s="303">
        <v>9.9283659105116103E-3</v>
      </c>
      <c r="J84" s="303">
        <v>5.0570322779053337E-2</v>
      </c>
      <c r="K84" s="303">
        <v>0.47212650155927799</v>
      </c>
      <c r="L84" s="303">
        <v>0.95826236628208561</v>
      </c>
      <c r="M84" s="303">
        <v>1</v>
      </c>
      <c r="N84" s="303">
        <v>0.92376099966793812</v>
      </c>
      <c r="O84" s="303">
        <v>0.343310430281281</v>
      </c>
      <c r="P84" s="303">
        <v>0.10335714466467082</v>
      </c>
      <c r="Q84" s="303">
        <v>1.4892548865767415E-2</v>
      </c>
      <c r="R84" s="303">
        <v>6.6189106070077396E-3</v>
      </c>
    </row>
    <row r="85" spans="1:18">
      <c r="A85" s="151">
        <v>2012</v>
      </c>
      <c r="B85" s="151" t="s">
        <v>353</v>
      </c>
      <c r="C85" s="305">
        <f t="shared" si="4"/>
        <v>4.2512545099175791E-2</v>
      </c>
      <c r="D85" s="305">
        <f t="shared" si="5"/>
        <v>0</v>
      </c>
      <c r="E85" s="305">
        <f t="shared" si="6"/>
        <v>0.17576042134188866</v>
      </c>
      <c r="F85" s="305">
        <v>1</v>
      </c>
      <c r="G85" s="303">
        <v>0</v>
      </c>
      <c r="H85" s="303">
        <v>0</v>
      </c>
      <c r="I85" s="303">
        <v>1.2565698400748307E-6</v>
      </c>
      <c r="J85" s="303">
        <v>1.3860427486620731E-2</v>
      </c>
      <c r="K85" s="303">
        <v>0.47692486607649637</v>
      </c>
      <c r="L85" s="303">
        <v>1.0318329239846022</v>
      </c>
      <c r="M85" s="303">
        <v>1</v>
      </c>
      <c r="N85" s="303">
        <v>0.76052810010671257</v>
      </c>
      <c r="O85" s="303">
        <v>0.10286217591351401</v>
      </c>
      <c r="P85" s="303">
        <v>1.5846256084777681E-2</v>
      </c>
      <c r="Q85" s="303">
        <v>1.9419715710247381E-6</v>
      </c>
      <c r="R85" s="303">
        <v>0</v>
      </c>
    </row>
    <row r="86" spans="1:18">
      <c r="A86" s="151">
        <v>2012</v>
      </c>
      <c r="B86" s="151" t="s">
        <v>354</v>
      </c>
      <c r="C86" s="305">
        <f t="shared" si="4"/>
        <v>0.17928598583585467</v>
      </c>
      <c r="D86" s="305">
        <f t="shared" si="5"/>
        <v>6.4936425751307278E-3</v>
      </c>
      <c r="E86" s="305">
        <f t="shared" si="6"/>
        <v>0.29830535548166731</v>
      </c>
      <c r="F86" s="305">
        <v>1</v>
      </c>
      <c r="G86" s="303">
        <v>7.0080353261540622E-3</v>
      </c>
      <c r="H86" s="303">
        <v>7.6451294467135226E-3</v>
      </c>
      <c r="I86" s="303">
        <v>3.9641866711261811E-2</v>
      </c>
      <c r="J86" s="303">
        <v>0.15620699684777148</v>
      </c>
      <c r="K86" s="303">
        <v>0.68216670943409685</v>
      </c>
      <c r="L86" s="303">
        <v>1.002683102828857</v>
      </c>
      <c r="M86" s="303">
        <v>1</v>
      </c>
      <c r="N86" s="303">
        <v>0.94066188531397132</v>
      </c>
      <c r="O86" s="303">
        <v>0.36139072681183404</v>
      </c>
      <c r="P86" s="303">
        <v>0.1389759048349864</v>
      </c>
      <c r="Q86" s="303">
        <v>2.7333876207388443E-2</v>
      </c>
      <c r="R86" s="303">
        <v>4.4598655554343326E-3</v>
      </c>
    </row>
    <row r="87" spans="1:18">
      <c r="A87" s="151">
        <v>2013</v>
      </c>
      <c r="B87" s="151" t="s">
        <v>355</v>
      </c>
      <c r="C87" s="305">
        <f t="shared" si="4"/>
        <v>0.10627171266825262</v>
      </c>
      <c r="D87" s="305">
        <f t="shared" si="5"/>
        <v>3.800445757597029E-6</v>
      </c>
      <c r="E87" s="305">
        <f t="shared" si="6"/>
        <v>0.22135221136841066</v>
      </c>
      <c r="F87" s="305">
        <v>1</v>
      </c>
      <c r="G87" s="303">
        <v>0</v>
      </c>
      <c r="H87" s="303">
        <v>0</v>
      </c>
      <c r="I87" s="303">
        <v>5.767814080939864E-4</v>
      </c>
      <c r="J87" s="303">
        <v>9.18975068713756E-2</v>
      </c>
      <c r="K87" s="303">
        <v>0.51136364976148363</v>
      </c>
      <c r="L87" s="303">
        <v>0.99109439051468595</v>
      </c>
      <c r="M87" s="303">
        <v>1</v>
      </c>
      <c r="N87" s="303">
        <v>0.7368563912190782</v>
      </c>
      <c r="O87" s="303">
        <v>0.25304671550368402</v>
      </c>
      <c r="P87" s="303">
        <v>3.6285030384821115E-2</v>
      </c>
      <c r="Q87" s="303">
        <v>5.7225576104051861E-4</v>
      </c>
      <c r="R87" s="303">
        <v>1.0367428975373582E-5</v>
      </c>
    </row>
    <row r="88" spans="1:18">
      <c r="A88" s="151">
        <v>2012</v>
      </c>
      <c r="B88" s="151" t="s">
        <v>356</v>
      </c>
      <c r="C88" s="305">
        <f t="shared" si="4"/>
        <v>9.2208786280200475E-2</v>
      </c>
      <c r="D88" s="305">
        <f t="shared" si="5"/>
        <v>1.7825657414302525E-3</v>
      </c>
      <c r="E88" s="305">
        <f t="shared" si="6"/>
        <v>0.14222385590110426</v>
      </c>
      <c r="F88" s="305">
        <v>1</v>
      </c>
      <c r="G88" s="303">
        <v>1.6273636321920677E-3</v>
      </c>
      <c r="H88" s="303">
        <v>1.6273636321920677E-3</v>
      </c>
      <c r="I88" s="303">
        <v>6.3368141582274265E-3</v>
      </c>
      <c r="J88" s="303">
        <v>2.9296118618266219E-2</v>
      </c>
      <c r="K88" s="303">
        <v>0.35388975131460254</v>
      </c>
      <c r="L88" s="303">
        <v>0.78418073368922125</v>
      </c>
      <c r="M88" s="303">
        <v>1</v>
      </c>
      <c r="N88" s="303">
        <v>0.95461917876675817</v>
      </c>
      <c r="O88" s="303">
        <v>0.21814283248929825</v>
      </c>
      <c r="P88" s="303">
        <v>2.9406305512138475E-2</v>
      </c>
      <c r="Q88" s="303">
        <v>4.9922777904484669E-3</v>
      </c>
      <c r="R88" s="303">
        <v>1.6273636321920677E-3</v>
      </c>
    </row>
    <row r="89" spans="1:18">
      <c r="A89" s="151">
        <v>2012</v>
      </c>
      <c r="B89" s="151" t="s">
        <v>357</v>
      </c>
      <c r="C89" s="305">
        <f t="shared" si="4"/>
        <v>9.195972800932399E-2</v>
      </c>
      <c r="D89" s="305">
        <f t="shared" si="5"/>
        <v>1.7423770688195224E-3</v>
      </c>
      <c r="E89" s="305">
        <f t="shared" si="6"/>
        <v>0.14211359928613276</v>
      </c>
      <c r="F89" s="305">
        <v>1</v>
      </c>
      <c r="G89" s="303">
        <v>1.5918801139266393E-3</v>
      </c>
      <c r="H89" s="303">
        <v>1.5918801139266391E-3</v>
      </c>
      <c r="I89" s="303">
        <v>6.136904604102717E-3</v>
      </c>
      <c r="J89" s="303">
        <v>2.9085399871586589E-2</v>
      </c>
      <c r="K89" s="303">
        <v>0.35429351848346852</v>
      </c>
      <c r="L89" s="303">
        <v>0.78583924299780827</v>
      </c>
      <c r="M89" s="303">
        <v>1</v>
      </c>
      <c r="N89" s="303">
        <v>0.95503724535925039</v>
      </c>
      <c r="O89" s="303">
        <v>0.21781724002089353</v>
      </c>
      <c r="P89" s="303">
        <v>2.9271387942689669E-2</v>
      </c>
      <c r="Q89" s="303">
        <v>4.961628412883003E-3</v>
      </c>
      <c r="R89" s="303">
        <v>1.5918801139266393E-3</v>
      </c>
    </row>
    <row r="90" spans="1:18">
      <c r="A90" s="151">
        <v>2012</v>
      </c>
      <c r="B90" s="151" t="s">
        <v>358</v>
      </c>
      <c r="C90" s="305">
        <f t="shared" si="4"/>
        <v>9.6106755698089547E-2</v>
      </c>
      <c r="D90" s="305">
        <f t="shared" si="5"/>
        <v>2.4115519470715549E-3</v>
      </c>
      <c r="E90" s="305">
        <f t="shared" si="6"/>
        <v>0.14394946377498158</v>
      </c>
      <c r="F90" s="305">
        <v>1</v>
      </c>
      <c r="G90" s="303">
        <v>2.1757865396821417E-3</v>
      </c>
      <c r="H90" s="303">
        <v>2.1757865396821413E-3</v>
      </c>
      <c r="I90" s="303">
        <v>9.4265579115951504E-3</v>
      </c>
      <c r="J90" s="303">
        <v>3.2552926098636657E-2</v>
      </c>
      <c r="K90" s="303">
        <v>0.34764924373465766</v>
      </c>
      <c r="L90" s="303">
        <v>0.75854729761586703</v>
      </c>
      <c r="M90" s="303">
        <v>1</v>
      </c>
      <c r="N90" s="303">
        <v>0.94815766346650254</v>
      </c>
      <c r="O90" s="303">
        <v>0.2231750947030868</v>
      </c>
      <c r="P90" s="303">
        <v>3.1491552109026828E-2</v>
      </c>
      <c r="Q90" s="303">
        <v>5.4659856294366075E-3</v>
      </c>
      <c r="R90" s="303">
        <v>2.1757865396821417E-3</v>
      </c>
    </row>
    <row r="91" spans="1:18">
      <c r="A91" s="151">
        <v>2012</v>
      </c>
      <c r="B91" s="151" t="s">
        <v>359</v>
      </c>
      <c r="C91" s="305">
        <f t="shared" si="4"/>
        <v>0.11296097737899706</v>
      </c>
      <c r="D91" s="305">
        <f t="shared" si="5"/>
        <v>5.1311917922328793E-3</v>
      </c>
      <c r="E91" s="305">
        <f t="shared" si="6"/>
        <v>0.15141072745426357</v>
      </c>
      <c r="F91" s="305">
        <v>1</v>
      </c>
      <c r="G91" s="303">
        <v>4.406276876715313E-3</v>
      </c>
      <c r="H91" s="303">
        <v>4.4062768767153121E-3</v>
      </c>
      <c r="I91" s="303">
        <v>2.1992852082886746E-2</v>
      </c>
      <c r="J91" s="303">
        <v>4.5798685010840896E-2</v>
      </c>
      <c r="K91" s="303">
        <v>0.32226848070462105</v>
      </c>
      <c r="L91" s="303">
        <v>0.65429357173077796</v>
      </c>
      <c r="M91" s="303">
        <v>1</v>
      </c>
      <c r="N91" s="303">
        <v>0.92187804012660257</v>
      </c>
      <c r="O91" s="303">
        <v>0.2436418040399424</v>
      </c>
      <c r="P91" s="303">
        <v>3.9972456756094232E-2</v>
      </c>
      <c r="Q91" s="303">
        <v>7.3926023753992784E-3</v>
      </c>
      <c r="R91" s="303">
        <v>4.406276876715313E-3</v>
      </c>
    </row>
    <row r="92" spans="1:18">
      <c r="A92" s="151">
        <v>2012</v>
      </c>
      <c r="B92" s="151" t="s">
        <v>360</v>
      </c>
      <c r="C92" s="305">
        <f t="shared" si="4"/>
        <v>0.10018188743479121</v>
      </c>
      <c r="D92" s="305">
        <f t="shared" si="5"/>
        <v>3.0691255126293246E-3</v>
      </c>
      <c r="E92" s="305">
        <f t="shared" si="6"/>
        <v>0.14575350035353121</v>
      </c>
      <c r="F92" s="305">
        <v>1</v>
      </c>
      <c r="G92" s="303">
        <v>2.7355584650930031E-3</v>
      </c>
      <c r="H92" s="303">
        <v>2.7355584650930027E-3</v>
      </c>
      <c r="I92" s="303">
        <v>1.2580240564576118E-2</v>
      </c>
      <c r="J92" s="303">
        <v>3.5877129681457363E-2</v>
      </c>
      <c r="K92" s="303">
        <v>0.3412795956111791</v>
      </c>
      <c r="L92" s="303">
        <v>0.73238340535369462</v>
      </c>
      <c r="M92" s="303">
        <v>1</v>
      </c>
      <c r="N92" s="303">
        <v>0.94156243410737661</v>
      </c>
      <c r="O92" s="303">
        <v>0.22831149413154381</v>
      </c>
      <c r="P92" s="303">
        <v>3.3619950625125961E-2</v>
      </c>
      <c r="Q92" s="303">
        <v>5.9494963389476055E-3</v>
      </c>
      <c r="R92" s="303">
        <v>2.7355584650930031E-3</v>
      </c>
    </row>
    <row r="93" spans="1:18">
      <c r="A93" s="151">
        <v>2012</v>
      </c>
      <c r="B93" s="151" t="s">
        <v>361</v>
      </c>
      <c r="C93" s="305">
        <f t="shared" si="4"/>
        <v>9.1723854598155088E-2</v>
      </c>
      <c r="D93" s="305">
        <f t="shared" si="5"/>
        <v>1.704315938523857E-3</v>
      </c>
      <c r="E93" s="305">
        <f t="shared" si="6"/>
        <v>0.14200917953012254</v>
      </c>
      <c r="F93" s="305">
        <v>1</v>
      </c>
      <c r="G93" s="303">
        <v>1.558225406550549E-3</v>
      </c>
      <c r="H93" s="303">
        <v>1.5582254065505488E-3</v>
      </c>
      <c r="I93" s="303">
        <v>5.9472983340754645E-3</v>
      </c>
      <c r="J93" s="303">
        <v>2.8885541511851472E-2</v>
      </c>
      <c r="K93" s="303">
        <v>0.35467647560216814</v>
      </c>
      <c r="L93" s="303">
        <v>0.787412273187303</v>
      </c>
      <c r="M93" s="303">
        <v>1</v>
      </c>
      <c r="N93" s="303">
        <v>0.95543376491316789</v>
      </c>
      <c r="O93" s="303">
        <v>0.21750842849983593</v>
      </c>
      <c r="P93" s="303">
        <v>2.9143423988108614E-2</v>
      </c>
      <c r="Q93" s="303">
        <v>4.9325586959087994E-3</v>
      </c>
      <c r="R93" s="303">
        <v>1.558225406550549E-3</v>
      </c>
    </row>
    <row r="94" spans="1:18">
      <c r="A94" s="151">
        <v>2012</v>
      </c>
      <c r="B94" s="151" t="s">
        <v>362</v>
      </c>
      <c r="C94" s="305">
        <f t="shared" si="4"/>
        <v>9.46430299322496E-2</v>
      </c>
      <c r="D94" s="305">
        <f t="shared" si="5"/>
        <v>2.1753614548296603E-3</v>
      </c>
      <c r="E94" s="305">
        <f t="shared" si="6"/>
        <v>0.14330148108554877</v>
      </c>
      <c r="F94" s="305">
        <v>1</v>
      </c>
      <c r="G94" s="303">
        <v>1.971362106670896E-3</v>
      </c>
      <c r="H94" s="303">
        <v>1.9713621066708956E-3</v>
      </c>
      <c r="I94" s="303">
        <v>8.2748570867282253E-3</v>
      </c>
      <c r="J94" s="303">
        <v>3.1338952332207945E-2</v>
      </c>
      <c r="K94" s="303">
        <v>0.34997539059378696</v>
      </c>
      <c r="L94" s="303">
        <v>0.76810215129513337</v>
      </c>
      <c r="M94" s="303">
        <v>1</v>
      </c>
      <c r="N94" s="303">
        <v>0.95056619087046079</v>
      </c>
      <c r="O94" s="303">
        <v>0.22129932085088633</v>
      </c>
      <c r="P94" s="303">
        <v>3.071427722237333E-2</v>
      </c>
      <c r="Q94" s="303">
        <v>5.2894112101780789E-3</v>
      </c>
      <c r="R94" s="303">
        <v>1.971362106670896E-3</v>
      </c>
    </row>
    <row r="95" spans="1:18">
      <c r="A95" s="151">
        <v>2013</v>
      </c>
      <c r="B95" s="151" t="s">
        <v>363</v>
      </c>
      <c r="C95" s="305">
        <f t="shared" si="4"/>
        <v>0.21586085994712609</v>
      </c>
      <c r="D95" s="305">
        <f t="shared" si="5"/>
        <v>7.8058512122469812E-3</v>
      </c>
      <c r="E95" s="305">
        <f t="shared" si="6"/>
        <v>0.30441572080603557</v>
      </c>
      <c r="F95" s="305">
        <v>1</v>
      </c>
      <c r="G95" s="303">
        <v>6.9641749546482416E-3</v>
      </c>
      <c r="H95" s="303">
        <v>6.9852963731638724E-3</v>
      </c>
      <c r="I95" s="303">
        <v>3.050980064944982E-2</v>
      </c>
      <c r="J95" s="303">
        <v>0.17112150883317565</v>
      </c>
      <c r="K95" s="303">
        <v>0.69123561391084987</v>
      </c>
      <c r="L95" s="303">
        <v>0.96115913883021986</v>
      </c>
      <c r="M95" s="303">
        <v>1</v>
      </c>
      <c r="N95" s="303">
        <v>0.97189215375523441</v>
      </c>
      <c r="O95" s="303">
        <v>0.45098814453307173</v>
      </c>
      <c r="P95" s="303">
        <v>0.15732526421270554</v>
      </c>
      <c r="Q95" s="303">
        <v>2.4817565540748592E-2</v>
      </c>
      <c r="R95" s="303">
        <v>8.9454906599986308E-3</v>
      </c>
    </row>
    <row r="96" spans="1:18">
      <c r="A96" s="151">
        <v>2014</v>
      </c>
      <c r="B96" s="151" t="s">
        <v>364</v>
      </c>
      <c r="C96" s="305">
        <f t="shared" si="4"/>
        <v>0.21575500597684358</v>
      </c>
      <c r="D96" s="305">
        <f t="shared" si="5"/>
        <v>1.3188463371977294E-2</v>
      </c>
      <c r="E96" s="305">
        <f t="shared" si="6"/>
        <v>0.33078178378619083</v>
      </c>
      <c r="F96" s="305">
        <v>1</v>
      </c>
      <c r="G96" s="303">
        <v>1.2512753191412292E-2</v>
      </c>
      <c r="H96" s="303">
        <v>1.1709020027636184E-2</v>
      </c>
      <c r="I96" s="303">
        <v>3.639746582938904E-2</v>
      </c>
      <c r="J96" s="303">
        <v>0.20109877648790714</v>
      </c>
      <c r="K96" s="303">
        <v>0.70689820908679368</v>
      </c>
      <c r="L96" s="303">
        <v>0.92273121101620947</v>
      </c>
      <c r="M96" s="303">
        <v>1</v>
      </c>
      <c r="N96" s="303">
        <v>0.93230645337501683</v>
      </c>
      <c r="O96" s="303">
        <v>0.4006133909360633</v>
      </c>
      <c r="P96" s="303">
        <v>0.16435122052896778</v>
      </c>
      <c r="Q96" s="303">
        <v>5.1024056879811458E-2</v>
      </c>
      <c r="R96" s="303">
        <v>1.343178644339081E-2</v>
      </c>
    </row>
    <row r="97" spans="1:18">
      <c r="A97" s="151">
        <v>2014</v>
      </c>
      <c r="B97" s="151" t="s">
        <v>365</v>
      </c>
      <c r="C97" s="305">
        <f t="shared" si="4"/>
        <v>0.20777934965549161</v>
      </c>
      <c r="D97" s="305">
        <f t="shared" si="5"/>
        <v>1.1984696607716606E-2</v>
      </c>
      <c r="E97" s="305">
        <f t="shared" si="6"/>
        <v>0.1863978016188744</v>
      </c>
      <c r="F97" s="305">
        <v>1</v>
      </c>
      <c r="G97" s="303">
        <v>1.0750860016135271E-2</v>
      </c>
      <c r="H97" s="303">
        <v>1.0750860016135271E-2</v>
      </c>
      <c r="I97" s="303">
        <v>1.4058816944176895E-2</v>
      </c>
      <c r="J97" s="303">
        <v>6.6159138560832442E-2</v>
      </c>
      <c r="K97" s="303">
        <v>0.43145138507112446</v>
      </c>
      <c r="L97" s="303">
        <v>0.79663819934719482</v>
      </c>
      <c r="M97" s="303">
        <v>1</v>
      </c>
      <c r="N97" s="303">
        <v>0.9484013672799837</v>
      </c>
      <c r="O97" s="303">
        <v>0.42475042843485816</v>
      </c>
      <c r="P97" s="303">
        <v>0.12511847959548095</v>
      </c>
      <c r="Q97" s="303">
        <v>2.0493627902048527E-2</v>
      </c>
      <c r="R97" s="303">
        <v>1.1396746349934065E-2</v>
      </c>
    </row>
    <row r="98" spans="1:18">
      <c r="A98" s="151">
        <v>2014</v>
      </c>
      <c r="B98" s="151" t="s">
        <v>366</v>
      </c>
      <c r="C98" s="305">
        <f t="shared" si="4"/>
        <v>9.2208786280200475E-2</v>
      </c>
      <c r="D98" s="305">
        <f t="shared" si="5"/>
        <v>1.7825657414302525E-3</v>
      </c>
      <c r="E98" s="305">
        <f t="shared" si="6"/>
        <v>0.14222385590110426</v>
      </c>
      <c r="F98" s="305">
        <v>1</v>
      </c>
      <c r="G98" s="303">
        <v>1.6273636321920677E-3</v>
      </c>
      <c r="H98" s="303">
        <v>1.6273636321920677E-3</v>
      </c>
      <c r="I98" s="303">
        <v>6.3368141582274265E-3</v>
      </c>
      <c r="J98" s="303">
        <v>2.9296118618266219E-2</v>
      </c>
      <c r="K98" s="303">
        <v>0.35388975131460254</v>
      </c>
      <c r="L98" s="303">
        <v>0.78418073368922125</v>
      </c>
      <c r="M98" s="303">
        <v>1</v>
      </c>
      <c r="N98" s="303">
        <v>0.95461917876675817</v>
      </c>
      <c r="O98" s="303">
        <v>0.21814283248929825</v>
      </c>
      <c r="P98" s="303">
        <v>2.9406305512138475E-2</v>
      </c>
      <c r="Q98" s="303">
        <v>4.9922777904484669E-3</v>
      </c>
      <c r="R98" s="303">
        <v>1.6273636321920677E-3</v>
      </c>
    </row>
    <row r="99" spans="1:18">
      <c r="A99" s="151">
        <v>2014</v>
      </c>
      <c r="B99" s="151" t="s">
        <v>367</v>
      </c>
      <c r="C99" s="305">
        <f t="shared" si="4"/>
        <v>0.25630038513878056</v>
      </c>
      <c r="D99" s="305">
        <f t="shared" si="5"/>
        <v>1.8058874035206268E-2</v>
      </c>
      <c r="E99" s="305">
        <f t="shared" si="6"/>
        <v>0.24116487720447435</v>
      </c>
      <c r="F99" s="305">
        <v>1</v>
      </c>
      <c r="G99" s="303">
        <v>1.4642797968444251E-2</v>
      </c>
      <c r="H99" s="303">
        <v>2.1964196952666378E-2</v>
      </c>
      <c r="I99" s="303">
        <v>1.8129178437121449E-2</v>
      </c>
      <c r="J99" s="303">
        <v>0.17627388676808273</v>
      </c>
      <c r="K99" s="303">
        <v>0.49000560749879563</v>
      </c>
      <c r="L99" s="303">
        <v>0.88793669375662054</v>
      </c>
      <c r="M99" s="303">
        <v>1</v>
      </c>
      <c r="N99" s="303">
        <v>0.94999178338110213</v>
      </c>
      <c r="O99" s="303">
        <v>0.43713636112006882</v>
      </c>
      <c r="P99" s="303">
        <v>0.21950695412330987</v>
      </c>
      <c r="Q99" s="303">
        <v>7.0718846443332442E-2</v>
      </c>
      <c r="R99" s="303">
        <v>1.4642797968444251E-2</v>
      </c>
    </row>
    <row r="100" spans="1:18">
      <c r="A100" s="151">
        <v>2014</v>
      </c>
      <c r="B100" s="151" t="s">
        <v>368</v>
      </c>
      <c r="C100" s="305">
        <f t="shared" si="4"/>
        <v>0.25664215887603886</v>
      </c>
      <c r="D100" s="305">
        <f t="shared" si="5"/>
        <v>1.0578013139160007E-2</v>
      </c>
      <c r="E100" s="305">
        <f t="shared" si="6"/>
        <v>0.28373093270518446</v>
      </c>
      <c r="F100" s="305">
        <v>1</v>
      </c>
      <c r="G100" s="303">
        <v>8.4718105861167521E-3</v>
      </c>
      <c r="H100" s="303">
        <v>1.1578854561299635E-2</v>
      </c>
      <c r="I100" s="303">
        <v>3.7822723254555705E-2</v>
      </c>
      <c r="J100" s="303">
        <v>0.16239598281759285</v>
      </c>
      <c r="K100" s="303">
        <v>0.61904153861567746</v>
      </c>
      <c r="L100" s="303">
        <v>0.93347190946762915</v>
      </c>
      <c r="M100" s="303">
        <v>1</v>
      </c>
      <c r="N100" s="303">
        <v>0.95398289454943064</v>
      </c>
      <c r="O100" s="303">
        <v>0.47875939447642041</v>
      </c>
      <c r="P100" s="303">
        <v>0.20532441834870327</v>
      </c>
      <c r="Q100" s="303">
        <v>5.6958821734804398E-2</v>
      </c>
      <c r="R100" s="303">
        <v>1.0492869708206759E-2</v>
      </c>
    </row>
    <row r="101" spans="1:18">
      <c r="A101" s="151">
        <v>2014</v>
      </c>
      <c r="B101" s="151" t="s">
        <v>369</v>
      </c>
      <c r="C101" s="305">
        <f t="shared" si="4"/>
        <v>0.23535573523729256</v>
      </c>
      <c r="D101" s="305">
        <f t="shared" si="5"/>
        <v>1.5045950595338259E-2</v>
      </c>
      <c r="E101" s="305">
        <f t="shared" si="6"/>
        <v>0.31936043203459491</v>
      </c>
      <c r="F101" s="305">
        <v>1</v>
      </c>
      <c r="G101" s="303">
        <v>9.0950235730032688E-3</v>
      </c>
      <c r="H101" s="303">
        <v>1.0680412733171198E-2</v>
      </c>
      <c r="I101" s="303">
        <v>5.7968936548434657E-2</v>
      </c>
      <c r="J101" s="303">
        <v>0.19196009306739226</v>
      </c>
      <c r="K101" s="303">
        <v>0.68187828837638986</v>
      </c>
      <c r="L101" s="303">
        <v>0.96300265484973846</v>
      </c>
      <c r="M101" s="303">
        <v>1</v>
      </c>
      <c r="N101" s="303">
        <v>0.95472673340233627</v>
      </c>
      <c r="O101" s="303">
        <v>0.40956332682065716</v>
      </c>
      <c r="P101" s="303">
        <v>0.2161974219163528</v>
      </c>
      <c r="Q101" s="303">
        <v>6.0943596658512927E-2</v>
      </c>
      <c r="R101" s="303">
        <v>2.4124575920032771E-2</v>
      </c>
    </row>
    <row r="102" spans="1:18">
      <c r="A102" s="151">
        <v>2014</v>
      </c>
      <c r="B102" s="151" t="s">
        <v>370</v>
      </c>
      <c r="C102" s="305">
        <f t="shared" si="4"/>
        <v>0.23735845604126901</v>
      </c>
      <c r="D102" s="305">
        <f t="shared" si="5"/>
        <v>1.1225506170842826E-2</v>
      </c>
      <c r="E102" s="305">
        <f t="shared" si="6"/>
        <v>0.3304625149568256</v>
      </c>
      <c r="F102" s="305">
        <v>1</v>
      </c>
      <c r="G102" s="303">
        <v>7.159521428843213E-3</v>
      </c>
      <c r="H102" s="303">
        <v>1.2844346985901388E-2</v>
      </c>
      <c r="I102" s="303">
        <v>3.9058348433413763E-2</v>
      </c>
      <c r="J102" s="303">
        <v>0.14171206686786991</v>
      </c>
      <c r="K102" s="303">
        <v>0.77695452393899633</v>
      </c>
      <c r="L102" s="303">
        <v>0.98673757324745504</v>
      </c>
      <c r="M102" s="303">
        <v>1</v>
      </c>
      <c r="N102" s="303">
        <v>0.91139730103747019</v>
      </c>
      <c r="O102" s="303">
        <v>0.44802915452300124</v>
      </c>
      <c r="P102" s="303">
        <v>0.19371545311114152</v>
      </c>
      <c r="Q102" s="303">
        <v>4.6152211525484356E-2</v>
      </c>
      <c r="R102" s="303">
        <v>1.2529162500475623E-2</v>
      </c>
    </row>
    <row r="103" spans="1:18">
      <c r="A103" s="151">
        <v>2014</v>
      </c>
      <c r="B103" s="151" t="s">
        <v>371</v>
      </c>
      <c r="C103" s="305">
        <f t="shared" si="4"/>
        <v>0.23535573523729256</v>
      </c>
      <c r="D103" s="305">
        <f t="shared" si="5"/>
        <v>1.5045950595338259E-2</v>
      </c>
      <c r="E103" s="305">
        <f t="shared" si="6"/>
        <v>0.31936043203459491</v>
      </c>
      <c r="F103" s="305">
        <v>1</v>
      </c>
      <c r="G103" s="303">
        <v>9.0950235730032688E-3</v>
      </c>
      <c r="H103" s="303">
        <v>1.0680412733171198E-2</v>
      </c>
      <c r="I103" s="303">
        <v>5.7968936548434657E-2</v>
      </c>
      <c r="J103" s="303">
        <v>0.19196009306739226</v>
      </c>
      <c r="K103" s="303">
        <v>0.68187828837638986</v>
      </c>
      <c r="L103" s="303">
        <v>0.96300265484973846</v>
      </c>
      <c r="M103" s="303">
        <v>1</v>
      </c>
      <c r="N103" s="303">
        <v>0.95472673340233627</v>
      </c>
      <c r="O103" s="303">
        <v>0.40956332682065716</v>
      </c>
      <c r="P103" s="303">
        <v>0.2161974219163528</v>
      </c>
      <c r="Q103" s="303">
        <v>6.0943596658512927E-2</v>
      </c>
      <c r="R103" s="303">
        <v>2.4124575920032771E-2</v>
      </c>
    </row>
    <row r="104" spans="1:18">
      <c r="A104" s="151">
        <v>2014</v>
      </c>
      <c r="B104" s="151" t="s">
        <v>372</v>
      </c>
      <c r="C104" s="305">
        <f t="shared" si="4"/>
        <v>0.14987972214769138</v>
      </c>
      <c r="D104" s="305">
        <f t="shared" si="5"/>
        <v>1.0018999136820653E-2</v>
      </c>
      <c r="E104" s="305">
        <f t="shared" si="6"/>
        <v>0.25297974324001854</v>
      </c>
      <c r="F104" s="305">
        <v>1</v>
      </c>
      <c r="G104" s="303">
        <v>7.1835187236070049E-3</v>
      </c>
      <c r="H104" s="303">
        <v>7.1835187236070049E-3</v>
      </c>
      <c r="I104" s="303">
        <v>2.4090531373683197E-2</v>
      </c>
      <c r="J104" s="303">
        <v>8.2233330227201751E-2</v>
      </c>
      <c r="K104" s="303">
        <v>0.6183286199521657</v>
      </c>
      <c r="L104" s="303">
        <v>0.96401002876794462</v>
      </c>
      <c r="M104" s="303">
        <v>1</v>
      </c>
      <c r="N104" s="303">
        <v>0.90045837598304401</v>
      </c>
      <c r="O104" s="303">
        <v>0.31238838795011414</v>
      </c>
      <c r="P104" s="303">
        <v>8.7593156608149286E-2</v>
      </c>
      <c r="Q104" s="303">
        <v>2.9344184046655574E-2</v>
      </c>
      <c r="R104" s="303">
        <v>1.4332069027436181E-2</v>
      </c>
    </row>
    <row r="105" spans="1:18">
      <c r="A105" s="151">
        <v>2014</v>
      </c>
      <c r="B105" s="151" t="s">
        <v>373</v>
      </c>
      <c r="C105" s="305">
        <f t="shared" si="4"/>
        <v>0.23535573523729256</v>
      </c>
      <c r="D105" s="305">
        <f t="shared" si="5"/>
        <v>1.5045950595338259E-2</v>
      </c>
      <c r="E105" s="305">
        <f t="shared" si="6"/>
        <v>0.31936043203459491</v>
      </c>
      <c r="F105" s="305">
        <v>1</v>
      </c>
      <c r="G105" s="303">
        <v>9.0950235730032688E-3</v>
      </c>
      <c r="H105" s="303">
        <v>1.0680412733171198E-2</v>
      </c>
      <c r="I105" s="303">
        <v>5.7968936548434657E-2</v>
      </c>
      <c r="J105" s="303">
        <v>0.19196009306739226</v>
      </c>
      <c r="K105" s="303">
        <v>0.68187828837638986</v>
      </c>
      <c r="L105" s="303">
        <v>0.96300265484973846</v>
      </c>
      <c r="M105" s="303">
        <v>1</v>
      </c>
      <c r="N105" s="303">
        <v>0.95472673340233627</v>
      </c>
      <c r="O105" s="303">
        <v>0.40956332682065716</v>
      </c>
      <c r="P105" s="303">
        <v>0.2161974219163528</v>
      </c>
      <c r="Q105" s="303">
        <v>6.0943596658512927E-2</v>
      </c>
      <c r="R105" s="303">
        <v>2.4124575920032771E-2</v>
      </c>
    </row>
    <row r="106" spans="1:18">
      <c r="A106" s="151">
        <v>2014</v>
      </c>
      <c r="B106" s="151" t="s">
        <v>374</v>
      </c>
      <c r="C106" s="305">
        <f t="shared" si="4"/>
        <v>0.31860313046326538</v>
      </c>
      <c r="D106" s="305">
        <f t="shared" si="5"/>
        <v>6.8587080338675985E-2</v>
      </c>
      <c r="E106" s="305">
        <f t="shared" si="6"/>
        <v>0.41786293877014102</v>
      </c>
      <c r="F106" s="305">
        <v>1</v>
      </c>
      <c r="G106" s="303">
        <v>6.7165117122344867E-2</v>
      </c>
      <c r="H106" s="303">
        <v>6.1209106855816271E-2</v>
      </c>
      <c r="I106" s="303">
        <v>0.13626919062491685</v>
      </c>
      <c r="J106" s="303">
        <v>0.27418328679588988</v>
      </c>
      <c r="K106" s="303">
        <v>0.78926616285691009</v>
      </c>
      <c r="L106" s="303">
        <v>0.96254260457036944</v>
      </c>
      <c r="M106" s="303">
        <v>1</v>
      </c>
      <c r="N106" s="303">
        <v>0.90853910420414541</v>
      </c>
      <c r="O106" s="303">
        <v>0.40858487343421246</v>
      </c>
      <c r="P106" s="303">
        <v>0.31809099649718869</v>
      </c>
      <c r="Q106" s="303">
        <v>0.18805975029998054</v>
      </c>
      <c r="R106" s="303">
        <v>6.8544887840459617E-2</v>
      </c>
    </row>
    <row r="107" spans="1:18">
      <c r="A107" s="151">
        <v>2014</v>
      </c>
      <c r="B107" s="151" t="s">
        <v>375</v>
      </c>
      <c r="C107" s="305">
        <f t="shared" si="4"/>
        <v>0.22878564265862877</v>
      </c>
      <c r="D107" s="305">
        <f t="shared" si="5"/>
        <v>8.4837649446075046E-3</v>
      </c>
      <c r="E107" s="305">
        <f t="shared" si="6"/>
        <v>0.34144364265130772</v>
      </c>
      <c r="F107" s="305">
        <v>1</v>
      </c>
      <c r="G107" s="303">
        <v>4.345570511793532E-3</v>
      </c>
      <c r="H107" s="303">
        <v>8.2713824281808023E-3</v>
      </c>
      <c r="I107" s="303">
        <v>4.9628294569084817E-2</v>
      </c>
      <c r="J107" s="303">
        <v>0.21168630739180233</v>
      </c>
      <c r="K107" s="303">
        <v>0.73235123447041639</v>
      </c>
      <c r="L107" s="303">
        <v>0.9692491783847661</v>
      </c>
      <c r="M107" s="303">
        <v>1</v>
      </c>
      <c r="N107" s="303">
        <v>0.9409407103930556</v>
      </c>
      <c r="O107" s="303">
        <v>0.40143141990532744</v>
      </c>
      <c r="P107" s="303">
        <v>0.20008645147557411</v>
      </c>
      <c r="Q107" s="303">
        <v>6.4291792581775864E-2</v>
      </c>
      <c r="R107" s="303">
        <v>1.2072414020590165E-2</v>
      </c>
    </row>
    <row r="108" spans="1:18">
      <c r="A108" s="151">
        <v>2014</v>
      </c>
      <c r="B108" s="151" t="s">
        <v>376</v>
      </c>
      <c r="C108" s="305">
        <f t="shared" si="4"/>
        <v>0.23535573523729256</v>
      </c>
      <c r="D108" s="305">
        <f t="shared" si="5"/>
        <v>1.5045950595338259E-2</v>
      </c>
      <c r="E108" s="305">
        <f t="shared" si="6"/>
        <v>0.31936043203459491</v>
      </c>
      <c r="F108" s="305">
        <v>1</v>
      </c>
      <c r="G108" s="303">
        <v>9.0950235730032688E-3</v>
      </c>
      <c r="H108" s="303">
        <v>1.0680412733171198E-2</v>
      </c>
      <c r="I108" s="303">
        <v>5.7968936548434657E-2</v>
      </c>
      <c r="J108" s="303">
        <v>0.19196009306739226</v>
      </c>
      <c r="K108" s="303">
        <v>0.68187828837638986</v>
      </c>
      <c r="L108" s="303">
        <v>0.96300265484973846</v>
      </c>
      <c r="M108" s="303">
        <v>1</v>
      </c>
      <c r="N108" s="303">
        <v>0.95472673340233627</v>
      </c>
      <c r="O108" s="303">
        <v>0.40956332682065716</v>
      </c>
      <c r="P108" s="303">
        <v>0.2161974219163528</v>
      </c>
      <c r="Q108" s="303">
        <v>6.0943596658512927E-2</v>
      </c>
      <c r="R108" s="303">
        <v>2.4124575920032771E-2</v>
      </c>
    </row>
    <row r="109" spans="1:18">
      <c r="A109" s="151">
        <v>2014</v>
      </c>
      <c r="B109" s="151" t="s">
        <v>377</v>
      </c>
      <c r="C109" s="305">
        <f t="shared" si="4"/>
        <v>0.26575332951584052</v>
      </c>
      <c r="D109" s="305">
        <f t="shared" si="5"/>
        <v>3.4195384509252746E-2</v>
      </c>
      <c r="E109" s="305">
        <f t="shared" si="6"/>
        <v>0.3595902302401725</v>
      </c>
      <c r="F109" s="305">
        <v>1</v>
      </c>
      <c r="G109" s="303">
        <v>2.0526192666226257E-2</v>
      </c>
      <c r="H109" s="303">
        <v>2.0526192666226257E-2</v>
      </c>
      <c r="I109" s="303">
        <v>8.2301637795622634E-2</v>
      </c>
      <c r="J109" s="303">
        <v>0.2184817501779672</v>
      </c>
      <c r="K109" s="303">
        <v>0.74109814510760541</v>
      </c>
      <c r="L109" s="303">
        <v>0.94835483730870751</v>
      </c>
      <c r="M109" s="303">
        <v>1</v>
      </c>
      <c r="N109" s="303">
        <v>0.94905851117219053</v>
      </c>
      <c r="O109" s="303">
        <v>0.40118120729108547</v>
      </c>
      <c r="P109" s="303">
        <v>0.24555788004338139</v>
      </c>
      <c r="Q109" s="303">
        <v>0.12325815700797202</v>
      </c>
      <c r="R109" s="303">
        <v>5.8025778201093295E-2</v>
      </c>
    </row>
    <row r="110" spans="1:18">
      <c r="A110" s="151">
        <v>2014</v>
      </c>
      <c r="B110" s="151" t="s">
        <v>378</v>
      </c>
      <c r="C110" s="305">
        <f t="shared" si="4"/>
        <v>0.24850543300698033</v>
      </c>
      <c r="D110" s="305">
        <f t="shared" si="5"/>
        <v>3.016344783825058E-3</v>
      </c>
      <c r="E110" s="305">
        <f t="shared" si="6"/>
        <v>0.33250509097878611</v>
      </c>
      <c r="F110" s="305">
        <v>1</v>
      </c>
      <c r="G110" s="303">
        <v>0</v>
      </c>
      <c r="H110" s="303">
        <v>3.567296948188262E-3</v>
      </c>
      <c r="I110" s="303">
        <v>2.2592880671858998E-2</v>
      </c>
      <c r="J110" s="303">
        <v>0.2369812196964026</v>
      </c>
      <c r="K110" s="303">
        <v>0.691846241156307</v>
      </c>
      <c r="L110" s="303">
        <v>0.93820008245832953</v>
      </c>
      <c r="M110" s="303">
        <v>1</v>
      </c>
      <c r="N110" s="303">
        <v>0.9231706674568031</v>
      </c>
      <c r="O110" s="303">
        <v>0.48175868350331524</v>
      </c>
      <c r="P110" s="303">
        <v>0.18132876913325907</v>
      </c>
      <c r="Q110" s="303">
        <v>4.7978724564593685E-2</v>
      </c>
      <c r="R110" s="303">
        <v>5.0635837879078431E-3</v>
      </c>
    </row>
    <row r="111" spans="1:18">
      <c r="A111" s="151">
        <v>2014</v>
      </c>
      <c r="B111" s="151" t="s">
        <v>379</v>
      </c>
      <c r="C111" s="305">
        <f t="shared" si="4"/>
        <v>0.17648531740585235</v>
      </c>
      <c r="D111" s="305">
        <f t="shared" si="5"/>
        <v>3.1927720637928952E-2</v>
      </c>
      <c r="E111" s="305">
        <f t="shared" si="6"/>
        <v>0.30237856038327515</v>
      </c>
      <c r="F111" s="305">
        <v>1</v>
      </c>
      <c r="G111" s="303">
        <v>2.3711159935686371E-2</v>
      </c>
      <c r="H111" s="303">
        <v>3.2594480146447426E-2</v>
      </c>
      <c r="I111" s="303">
        <v>6.883788091079697E-2</v>
      </c>
      <c r="J111" s="303">
        <v>0.16727168470850223</v>
      </c>
      <c r="K111" s="303">
        <v>0.63267435968411501</v>
      </c>
      <c r="L111" s="303">
        <v>0.93888159760601375</v>
      </c>
      <c r="M111" s="303">
        <v>1</v>
      </c>
      <c r="N111" s="303">
        <v>0.93428482068171448</v>
      </c>
      <c r="O111" s="303">
        <v>0.29542364000775928</v>
      </c>
      <c r="P111" s="303">
        <v>0.14507112126173538</v>
      </c>
      <c r="Q111" s="303">
        <v>6.6576926021851057E-2</v>
      </c>
      <c r="R111" s="303">
        <v>3.5428014667235719E-2</v>
      </c>
    </row>
    <row r="113" spans="2:6">
      <c r="B113" s="307" t="s">
        <v>323</v>
      </c>
      <c r="C113" s="306">
        <f>AVERAGE(C70:C111)</f>
        <v>0.18451250725619014</v>
      </c>
      <c r="D113" s="306">
        <f t="shared" ref="D113:F113" si="7">AVERAGE(D70:D111)</f>
        <v>1.2857878981909876E-2</v>
      </c>
      <c r="E113" s="306">
        <f t="shared" si="7"/>
        <v>0.25781094919880576</v>
      </c>
      <c r="F113" s="306">
        <f t="shared" si="7"/>
        <v>1</v>
      </c>
    </row>
  </sheetData>
  <mergeCells count="18">
    <mergeCell ref="G26:L26"/>
    <mergeCell ref="G18:L18"/>
    <mergeCell ref="G17:L17"/>
    <mergeCell ref="G19:L19"/>
    <mergeCell ref="G11:L11"/>
    <mergeCell ref="G15:L15"/>
    <mergeCell ref="G12:L12"/>
    <mergeCell ref="G13:L13"/>
    <mergeCell ref="G14:L14"/>
    <mergeCell ref="C7:F7"/>
    <mergeCell ref="G7:L7"/>
    <mergeCell ref="G16:L16"/>
    <mergeCell ref="G22:L22"/>
    <mergeCell ref="G20:L20"/>
    <mergeCell ref="G21:L21"/>
    <mergeCell ref="G10:L10"/>
    <mergeCell ref="G9:L9"/>
    <mergeCell ref="G8:L8"/>
  </mergeCells>
  <dataValidations count="14">
    <dataValidation type="decimal" operator="equal" allowBlank="1" showInputMessage="1" showErrorMessage="1" errorTitle="Value cannot be changed" sqref="C9 C18" xr:uid="{362ADF9E-CC80-44AD-9128-7C28BDA702CA}">
      <formula1>1</formula1>
    </dataValidation>
    <dataValidation allowBlank="1" showInputMessage="1" showErrorMessage="1" promptTitle="Data Source" prompt="The seasonal profile from Gore (2011) was used for other urban areas of Southland" sqref="B111" xr:uid="{C8189C1E-9C89-4E91-A4BF-5A5BE445B4FC}"/>
    <dataValidation allowBlank="1" showInputMessage="1" showErrorMessage="1" promptTitle="Data Source" prompt="The seasonal profile from Reefton (2012) is used for the urban areas of the West Coast.  " sqref="B106" xr:uid="{0F3AAD66-C7AA-40CA-AB30-79F28502C5DE}"/>
    <dataValidation allowBlank="1" showInputMessage="1" showErrorMessage="1" promptTitle="Data Source" prompt="The seasonal profile from Blenheim (2012) is used for all urban areas of the Upper South for which no specific inventory data are available.  " sqref="B104" xr:uid="{FA72C466-7EAB-4354-97FB-6D73E302EE5E}"/>
    <dataValidation allowBlank="1" showInputMessage="1" showErrorMessage="1" promptTitle="Data Source" prompt="The whole South Island rural areas are treated as one area owing to the single climate zone.  However, the upper South and West Coast areas are included separately in the template to allow flexibility with future revisions.  " sqref="B103 B105" xr:uid="{2513F427-C092-4068-A37E-163576542FE9}"/>
    <dataValidation allowBlank="1" showInputMessage="1" showErrorMessage="1" promptTitle="Data Source" prompt="Surveying in Taupo is used for urban areas in Climate Zone 3 in the North Island as Taupo is within this zone. " sqref="B102" xr:uid="{B6F034E0-C568-46AE-834A-02E2CD1E195C}"/>
    <dataValidation allowBlank="1" showInputMessage="1" showErrorMessage="1" promptTitle="Data Source" prompt="Rural South Island is used for Climate 3 zone in the North Island as this zone is colder (South Island is all Climate 3)" sqref="B101" xr:uid="{F874C342-A8EF-4FB5-9FD7-7CCB7AA43191}"/>
    <dataValidation allowBlank="1" showInputMessage="1" showErrorMessage="1" promptTitle="Data source " prompt="Based on Auckland 1 which is reasonably representative of urban Auckland" sqref="B98" xr:uid="{D67C1586-508F-4870-85F2-E880478320F1}"/>
    <dataValidation allowBlank="1" showInputMessage="1" showErrorMessage="1" promptTitle="Data source" prompt="Seasonal distribution data are from the 2008 Masterton emission inventory as the seasonal profile is not presented in the 2013 inventory report.  The emission estimates here are higher at 782 kg/day than the 2013 values of 620 kg/day. " sqref="B87" xr:uid="{48B81B55-847C-48BA-85C4-EFD4D384F1E8}"/>
    <dataValidation allowBlank="1" showInputMessage="1" showErrorMessage="1" promptTitle="Data Source" prompt="This is based on data collected in a 2014 survey for Timaru (Wilton, 2014).  This data was not reported as emission estimates. The estimates reported here are the survey data with the emission factors for this study applied.  " sqref="B96" xr:uid="{B1803730-2504-404B-AC4A-B0F831E69B82}"/>
    <dataValidation allowBlank="1" showInputMessage="1" showErrorMessage="1" promptTitle="Data Source" prompt="This is based on data collected in a 2013 survey for Christchurch (Wilton, 2013).  This data was not reported as emission estimates. The estimates reported here are the survey data with the emission factors for this study applied.  " sqref="B95" xr:uid="{2ACC618D-D3D0-44FF-8B05-B142B5CF854E}"/>
    <dataValidation allowBlank="1" showInputMessage="1" showErrorMessage="1" promptTitle="Data Source" prompt="The seasonal profiles for the Auckland emissions are from the previous survey.  Area 5 for the 2012 survey includes the old area 5 and area 6 areas from the previous survey.  These values have been added together to give an area 5/6 seasonal variation. " sqref="B92" xr:uid="{3EEDBEDD-BD14-4E2C-9AF3-16D7AFEBE94C}"/>
    <dataValidation allowBlank="1" showInputMessage="1" showErrorMessage="1" promptTitle="Data Source" prompt="The seasonal profiles for the Auckland emissions are from the previous 2007 survey reported in HAPINZ.  Area 2 has increased to include the previous areas 8 and 10.  The seasonal profile is a combination of these areas from the 2007 survey.  " sqref="B89" xr:uid="{BCE6BD5C-6C35-4212-BCD0-7785CE891EA0}"/>
    <dataValidation allowBlank="1" showInputMessage="1" showErrorMessage="1" promptTitle="Data Source" prompt="The seasonal profiles for the Auckland emissions are from the previous survey.  The 2012 survey did not include many aspects required for this work including the average fuel quantities (still based on the previous surveys) and the seasonal variation. " sqref="B88 B90:B91 B93:B94" xr:uid="{23F81B00-98D0-4CF7-AE5F-EA5DB766085D}"/>
  </dataValidations>
  <hyperlinks>
    <hyperlink ref="A4" location="Contents!A1" display="Back to Contents" xr:uid="{E2062C3B-DF6B-4FB8-ADF7-ECF8785A91CD}"/>
  </hyperlinks>
  <pageMargins left="0.23622047244094488" right="0.23622047244094488" top="0.15748031496062992" bottom="0.15748031496062992" header="0.31496062992125984" footer="0.31496062992125984"/>
  <pageSetup paperSize="9" scale="54" fitToHeight="0" orientation="landscape" horizontalDpi="0"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32B5-84F0-402C-AAEA-08BC89938012}">
  <sheetPr>
    <tabColor theme="7" tint="0.59999389629810485"/>
  </sheetPr>
  <dimension ref="A1:I40"/>
  <sheetViews>
    <sheetView workbookViewId="0">
      <selection activeCell="B45" sqref="B45"/>
    </sheetView>
  </sheetViews>
  <sheetFormatPr defaultRowHeight="14.45"/>
  <cols>
    <col min="2" max="2" width="66.140625" bestFit="1" customWidth="1"/>
    <col min="3" max="3" width="18.5703125" customWidth="1"/>
    <col min="4" max="4" width="29.42578125" customWidth="1"/>
    <col min="5" max="5" width="27.42578125" bestFit="1" customWidth="1"/>
    <col min="6" max="6" width="23.140625" customWidth="1"/>
    <col min="7" max="7" width="14.7109375" customWidth="1"/>
    <col min="8" max="8" width="42.85546875" bestFit="1" customWidth="1"/>
    <col min="9" max="9" width="27.42578125" bestFit="1" customWidth="1"/>
  </cols>
  <sheetData>
    <row r="1" spans="1:8" ht="18.600000000000001">
      <c r="A1" s="165" t="s">
        <v>380</v>
      </c>
      <c r="B1" s="166"/>
      <c r="C1" s="166"/>
      <c r="D1" s="166"/>
      <c r="E1" s="166"/>
      <c r="F1" s="166"/>
      <c r="G1" s="166"/>
      <c r="H1" s="166"/>
    </row>
    <row r="2" spans="1:8">
      <c r="A2" s="2" t="s">
        <v>381</v>
      </c>
    </row>
    <row r="3" spans="1:8">
      <c r="A3" s="437" t="s">
        <v>382</v>
      </c>
    </row>
    <row r="4" spans="1:8">
      <c r="A4" s="380" t="s">
        <v>59</v>
      </c>
    </row>
    <row r="7" spans="1:8">
      <c r="B7" s="494" t="s">
        <v>383</v>
      </c>
      <c r="C7" s="749" t="s">
        <v>384</v>
      </c>
      <c r="D7" s="750"/>
      <c r="E7" s="750"/>
      <c r="F7" s="750"/>
      <c r="G7" s="750"/>
      <c r="H7" s="750"/>
    </row>
    <row r="8" spans="1:8">
      <c r="B8" s="12"/>
      <c r="C8" s="13" t="s">
        <v>102</v>
      </c>
      <c r="D8" s="72" t="s">
        <v>104</v>
      </c>
      <c r="E8" s="51" t="s">
        <v>105</v>
      </c>
      <c r="F8" s="51" t="s">
        <v>106</v>
      </c>
      <c r="G8" s="213" t="s">
        <v>205</v>
      </c>
      <c r="H8" s="64" t="s">
        <v>206</v>
      </c>
    </row>
    <row r="9" spans="1:8">
      <c r="B9" s="36"/>
      <c r="C9" s="35"/>
      <c r="D9" s="73"/>
      <c r="E9" s="21"/>
      <c r="F9" s="21"/>
      <c r="G9" s="214"/>
      <c r="H9" s="21"/>
    </row>
    <row r="10" spans="1:8">
      <c r="B10" s="37" t="s">
        <v>136</v>
      </c>
      <c r="C10" s="71">
        <v>2</v>
      </c>
      <c r="D10" s="74" t="s">
        <v>385</v>
      </c>
      <c r="E10" s="82">
        <v>1</v>
      </c>
      <c r="F10" s="82">
        <v>4</v>
      </c>
      <c r="G10" s="215" t="s">
        <v>386</v>
      </c>
      <c r="H10" s="537" t="s">
        <v>387</v>
      </c>
    </row>
    <row r="11" spans="1:8">
      <c r="B11" s="33" t="s">
        <v>138</v>
      </c>
      <c r="C11" s="80">
        <v>2</v>
      </c>
      <c r="D11" s="75" t="s">
        <v>385</v>
      </c>
      <c r="E11" s="83">
        <v>0</v>
      </c>
      <c r="F11" s="83">
        <v>4</v>
      </c>
      <c r="G11" s="88" t="s">
        <v>386</v>
      </c>
      <c r="H11" s="538" t="s">
        <v>388</v>
      </c>
    </row>
    <row r="13" spans="1:8">
      <c r="B13" s="490" t="s">
        <v>389</v>
      </c>
      <c r="C13" s="493"/>
      <c r="D13" s="493"/>
      <c r="E13" s="493"/>
    </row>
    <row r="14" spans="1:8">
      <c r="B14" s="2" t="s">
        <v>390</v>
      </c>
    </row>
    <row r="15" spans="1:8">
      <c r="B15" s="2" t="s">
        <v>391</v>
      </c>
    </row>
    <row r="18" spans="2:9">
      <c r="B18" s="494" t="s">
        <v>392</v>
      </c>
      <c r="C18" s="727" t="s">
        <v>393</v>
      </c>
      <c r="D18" s="728"/>
      <c r="E18" s="751"/>
      <c r="F18" s="205"/>
      <c r="G18" s="205"/>
      <c r="H18" s="205"/>
      <c r="I18" s="205"/>
    </row>
    <row r="19" spans="2:9">
      <c r="B19" s="12" t="s">
        <v>101</v>
      </c>
      <c r="C19" s="219" t="s">
        <v>394</v>
      </c>
      <c r="D19" s="64" t="s">
        <v>205</v>
      </c>
      <c r="E19" s="64" t="s">
        <v>206</v>
      </c>
      <c r="F19" s="206"/>
      <c r="G19" s="206"/>
      <c r="H19" s="207"/>
      <c r="I19" s="207"/>
    </row>
    <row r="20" spans="2:9">
      <c r="B20" s="18" t="s">
        <v>108</v>
      </c>
      <c r="C20" s="18"/>
      <c r="D20" s="20"/>
      <c r="E20" s="20"/>
      <c r="F20" s="9"/>
      <c r="G20" s="9"/>
      <c r="H20" s="9"/>
      <c r="I20" s="9"/>
    </row>
    <row r="21" spans="2:9">
      <c r="B21" s="22" t="s">
        <v>395</v>
      </c>
      <c r="C21" s="211">
        <v>29690</v>
      </c>
      <c r="D21" s="86" t="s">
        <v>396</v>
      </c>
      <c r="E21" s="86" t="s">
        <v>397</v>
      </c>
      <c r="F21" s="208"/>
      <c r="G21" s="208"/>
      <c r="H21" s="207"/>
      <c r="I21" s="151"/>
    </row>
    <row r="22" spans="2:9">
      <c r="B22" s="25" t="s">
        <v>112</v>
      </c>
      <c r="C22" s="218"/>
      <c r="D22" s="21"/>
      <c r="E22" s="21"/>
      <c r="F22" s="209"/>
      <c r="G22" s="209"/>
      <c r="H22" s="209"/>
      <c r="I22" s="209"/>
    </row>
    <row r="23" spans="2:9">
      <c r="B23" s="22" t="s">
        <v>398</v>
      </c>
      <c r="C23" s="211">
        <v>395580</v>
      </c>
      <c r="D23" s="86" t="s">
        <v>396</v>
      </c>
      <c r="E23" s="86" t="s">
        <v>397</v>
      </c>
      <c r="F23" s="208"/>
      <c r="G23" s="208"/>
      <c r="H23" s="151"/>
      <c r="I23" s="151"/>
    </row>
    <row r="24" spans="2:9">
      <c r="B24" s="18" t="s">
        <v>115</v>
      </c>
      <c r="C24" s="218"/>
      <c r="D24" s="20"/>
      <c r="E24" s="20"/>
      <c r="F24" s="9"/>
      <c r="G24" s="9"/>
      <c r="H24" s="9"/>
      <c r="I24" s="9"/>
    </row>
    <row r="25" spans="2:9">
      <c r="B25" s="22" t="s">
        <v>399</v>
      </c>
      <c r="C25" s="211">
        <v>57872</v>
      </c>
      <c r="D25" s="86" t="s">
        <v>396</v>
      </c>
      <c r="E25" s="86" t="s">
        <v>397</v>
      </c>
      <c r="F25" s="208"/>
      <c r="G25" s="208"/>
      <c r="H25" s="151"/>
      <c r="I25" s="151"/>
    </row>
    <row r="26" spans="2:9">
      <c r="B26" s="22" t="s">
        <v>400</v>
      </c>
      <c r="C26" s="211">
        <v>70425</v>
      </c>
      <c r="D26" s="86" t="s">
        <v>396</v>
      </c>
      <c r="E26" s="86" t="s">
        <v>397</v>
      </c>
      <c r="F26" s="208"/>
      <c r="G26" s="208"/>
      <c r="H26" s="151"/>
      <c r="I26" s="151"/>
    </row>
    <row r="27" spans="2:9">
      <c r="B27" s="22" t="s">
        <v>401</v>
      </c>
      <c r="C27" s="211">
        <v>6485</v>
      </c>
      <c r="D27" s="86" t="s">
        <v>396</v>
      </c>
      <c r="E27" s="86" t="s">
        <v>397</v>
      </c>
      <c r="F27" s="208"/>
      <c r="G27" s="208"/>
      <c r="H27" s="151"/>
      <c r="I27" s="151"/>
    </row>
    <row r="28" spans="2:9">
      <c r="B28" s="22" t="s">
        <v>402</v>
      </c>
      <c r="C28" s="211" t="s">
        <v>154</v>
      </c>
      <c r="D28" s="86" t="s">
        <v>396</v>
      </c>
      <c r="E28" s="86" t="s">
        <v>403</v>
      </c>
      <c r="F28" s="208"/>
      <c r="G28" s="208"/>
      <c r="H28" s="151"/>
      <c r="I28" s="151"/>
    </row>
    <row r="29" spans="2:9">
      <c r="B29" s="97" t="s">
        <v>404</v>
      </c>
      <c r="C29" s="212">
        <v>152169</v>
      </c>
      <c r="D29" s="88" t="s">
        <v>396</v>
      </c>
      <c r="E29" s="88" t="s">
        <v>397</v>
      </c>
      <c r="F29" s="210"/>
      <c r="G29" s="210"/>
      <c r="H29" s="151"/>
      <c r="I29" s="151"/>
    </row>
    <row r="30" spans="2:9">
      <c r="E30" s="205"/>
    </row>
    <row r="31" spans="2:9">
      <c r="E31" s="206"/>
    </row>
    <row r="32" spans="2:9">
      <c r="B32" s="494" t="s">
        <v>405</v>
      </c>
      <c r="C32" s="727" t="s">
        <v>406</v>
      </c>
      <c r="D32" s="728"/>
      <c r="E32" s="9"/>
    </row>
    <row r="33" spans="2:8">
      <c r="B33" s="12"/>
      <c r="C33" s="219" t="s">
        <v>407</v>
      </c>
      <c r="D33" s="64" t="s">
        <v>205</v>
      </c>
      <c r="E33" s="208"/>
    </row>
    <row r="34" spans="2:8">
      <c r="B34" s="18"/>
      <c r="C34" s="18"/>
      <c r="D34" s="20"/>
      <c r="E34" s="209"/>
      <c r="H34" s="207"/>
    </row>
    <row r="35" spans="2:8">
      <c r="B35" s="22" t="s">
        <v>168</v>
      </c>
      <c r="C35" s="204">
        <v>4714055</v>
      </c>
      <c r="D35" s="86" t="s">
        <v>396</v>
      </c>
      <c r="E35" s="208"/>
    </row>
    <row r="36" spans="2:8">
      <c r="B36" s="25"/>
      <c r="C36" s="25"/>
      <c r="D36" s="21"/>
      <c r="E36" s="9"/>
    </row>
    <row r="37" spans="2:8">
      <c r="B37" s="22" t="s">
        <v>408</v>
      </c>
      <c r="C37" s="204">
        <v>2790940</v>
      </c>
      <c r="D37" s="86" t="s">
        <v>396</v>
      </c>
      <c r="E37" s="208"/>
    </row>
    <row r="38" spans="2:8">
      <c r="B38" s="97" t="s">
        <v>409</v>
      </c>
      <c r="C38" s="212">
        <v>1177070</v>
      </c>
      <c r="D38" s="88" t="s">
        <v>396</v>
      </c>
      <c r="E38" s="208"/>
    </row>
    <row r="39" spans="2:8">
      <c r="E39" s="208"/>
    </row>
    <row r="40" spans="2:8">
      <c r="E40" s="208"/>
    </row>
  </sheetData>
  <mergeCells count="3">
    <mergeCell ref="C7:H7"/>
    <mergeCell ref="C32:D32"/>
    <mergeCell ref="C18:E18"/>
  </mergeCells>
  <hyperlinks>
    <hyperlink ref="A4" location="Contents!A1" display="Back to Contents" xr:uid="{50CA3F82-5FFA-46EC-9C42-C58821FF0D8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55E116523FB944A96998268DF6C076" ma:contentTypeVersion="97" ma:contentTypeDescription="Create a new document." ma:contentTypeScope="" ma:versionID="6473d942ee3570b2ce7612a2ab449ec9">
  <xsd:schema xmlns:xsd="http://www.w3.org/2001/XMLSchema" xmlns:xs="http://www.w3.org/2001/XMLSchema" xmlns:p="http://schemas.microsoft.com/office/2006/metadata/properties" xmlns:ns2="21524e96-ec98-4da0-a122-419156e7d6b0" xmlns:ns3="58c5b324-6895-485e-a842-ee36c060a4b3" targetNamespace="http://schemas.microsoft.com/office/2006/metadata/properties" ma:root="true" ma:fieldsID="112ab5fd00306d85467f0724eba358e4" ns2:_="" ns3:_="">
    <xsd:import namespace="21524e96-ec98-4da0-a122-419156e7d6b0"/>
    <xsd:import namespace="58c5b324-6895-485e-a842-ee36c060a4b3"/>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24e96-ec98-4da0-a122-419156e7d6b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251bc273-1602-4fac-9ab0-4c4e1ac79c83"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cb7f9f7-e5f4-4cbb-985e-d46a10eda061}" ma:internalName="TaxCatchAll" ma:showField="CatchAllData" ma:web="21524e96-ec98-4da0-a122-419156e7d6b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c5b324-6895-485e-a842-ee36c060a4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51bc273-1602-4fac-9ab0-4c4e1ac79c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21524e96-ec98-4da0-a122-419156e7d6b0">
      <Terms xmlns="http://schemas.microsoft.com/office/infopath/2007/PartnerControls"/>
    </TaxKeywordTaxHTField>
    <lcf76f155ced4ddcb4097134ff3c332f xmlns="58c5b324-6895-485e-a842-ee36c060a4b3">
      <Terms xmlns="http://schemas.microsoft.com/office/infopath/2007/PartnerControls"/>
    </lcf76f155ced4ddcb4097134ff3c332f>
    <TaxCatchAll xmlns="21524e96-ec98-4da0-a122-419156e7d6b0">
      <Value>5</Value>
    </TaxCatchAll>
  </documentManagement>
</p:properties>
</file>

<file path=customXml/itemProps1.xml><?xml version="1.0" encoding="utf-8"?>
<ds:datastoreItem xmlns:ds="http://schemas.openxmlformats.org/officeDocument/2006/customXml" ds:itemID="{CB4517A6-5672-4752-ACD8-F230F12A79B1}"/>
</file>

<file path=customXml/itemProps2.xml><?xml version="1.0" encoding="utf-8"?>
<ds:datastoreItem xmlns:ds="http://schemas.openxmlformats.org/officeDocument/2006/customXml" ds:itemID="{10DA27D2-E9DB-4865-9FA2-74055FF14B1A}"/>
</file>

<file path=customXml/itemProps3.xml><?xml version="1.0" encoding="utf-8"?>
<ds:datastoreItem xmlns:ds="http://schemas.openxmlformats.org/officeDocument/2006/customXml" ds:itemID="{8EED2A26-283C-476D-BEDC-0DB96B6C30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Kuschel</dc:creator>
  <cp:keywords/>
  <dc:description/>
  <cp:lastModifiedBy/>
  <cp:revision/>
  <dcterms:created xsi:type="dcterms:W3CDTF">2025-03-25T22:55:43Z</dcterms:created>
  <dcterms:modified xsi:type="dcterms:W3CDTF">2025-09-23T02:51:50Z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0x010100E255E116523FB944A96998268DF6C076</vt:lpwstr>
  </property>
  <property fmtid="{D5CDD505-2E9C-101B-9397-08002B2CF9AE}" pid="3" name="e98eceb0903b45e7b07f96aca67f3ab6">
    <vt:lpwstr>2017|bb95dfed-dd03-4f81-8186-85e52b36e1e4</vt:lpwstr>
  </property>
  <property fmtid="{D5CDD505-2E9C-101B-9397-08002B2CF9AE}" pid="4" name="TaxKeyword">
    <vt:lpwstr/>
  </property>
  <property fmtid="{D5CDD505-2E9C-101B-9397-08002B2CF9AE}" pid="5" name="C3FinancialYearNote">
    <vt:lpwstr/>
  </property>
  <property fmtid="{D5CDD505-2E9C-101B-9397-08002B2CF9AE}" pid="6" name="C3FinancialYear">
    <vt:lpwstr/>
  </property>
  <property fmtid="{D5CDD505-2E9C-101B-9397-08002B2CF9AE}" pid="7" name="MediaServiceImageTags">
    <vt:lpwstr/>
  </property>
  <property fmtid="{D5CDD505-2E9C-101B-9397-08002B2CF9AE}" pid="8" name="C3Topic">
    <vt:lpwstr/>
  </property>
  <property fmtid="{D5CDD505-2E9C-101B-9397-08002B2CF9AE}" pid="9" name="C3TopicNote">
    <vt:lpwstr/>
  </property>
  <property fmtid="{D5CDD505-2E9C-101B-9397-08002B2CF9AE}" pid="10" name="Year">
    <vt:lpwstr>5;#2017|bb95dfed-dd03-4f81-8186-85e52b36e1e4</vt:lpwstr>
  </property>
</Properties>
</file>