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pappaft\Projects\py-eecadata\data\fattemplates\"/>
    </mc:Choice>
  </mc:AlternateContent>
  <xr:revisionPtr revIDLastSave="0" documentId="13_ncr:1_{16D62424-8AE4-42EF-840B-874A45EB4A98}" xr6:coauthVersionLast="47" xr6:coauthVersionMax="47" xr10:uidLastSave="{00000000-0000-0000-0000-000000000000}"/>
  <workbookProtection workbookAlgorithmName="SHA-512" workbookHashValue="hXcxd+KvoXuVN1vQpuiTPpPyK5IykMSorCyMy2n4pwZgXqiAHzRB9o6rY8Et+l/69ldoAy3saveuDUJXoSbOqA==" workbookSaltValue="dATqf8ldJY5wY31KJhDtjw==" workbookSpinCount="100000" lockStructure="1"/>
  <bookViews>
    <workbookView xWindow="39855" yWindow="3060" windowWidth="28800" windowHeight="15345" xr2:uid="{2FC6D52F-5681-45CF-8093-FAE36A595F4A}"/>
  </bookViews>
  <sheets>
    <sheet name="Guidance" sheetId="1" r:id="rId1"/>
    <sheet name="In_Out" sheetId="4" r:id="rId2"/>
    <sheet name="Cashflow" sheetId="2" r:id="rId3"/>
    <sheet name="Scratch" sheetId="6" r:id="rId4"/>
    <sheet name="Data" sheetId="5" state="hidden" r:id="rId5"/>
    <sheet name="Waterfall" sheetId="7" state="hidden" r:id="rId6"/>
  </sheets>
  <definedNames>
    <definedName name="_xlchart.v1.0" hidden="1">Data!$D$119:$D$122</definedName>
    <definedName name="Annual_abatement_EB2">In_Out!$C$66</definedName>
    <definedName name="Annual_abatement_lifetime">In_Out!$B$66</definedName>
    <definedName name="AssCr_CoFund_a">Data!$O$211</definedName>
    <definedName name="AssCr_CoFund_b">Data!$O$212</definedName>
    <definedName name="AssCr_GIDI_MAC_a">Data!$O$240</definedName>
    <definedName name="AssCr_GIDI_MAC_b">Data!$O$241</definedName>
    <definedName name="AssCr_Imp_a">Data!#REF!</definedName>
    <definedName name="AssCr_Imp_Fin">Data!#REF!</definedName>
    <definedName name="AssCr_Imp_St">Data!#REF!</definedName>
    <definedName name="AssCr_PayB_a">Data!$P$226</definedName>
    <definedName name="AssCr_PayB_b">Data!$P$227</definedName>
    <definedName name="AssCr_PayB_c">Data!$P$228</definedName>
    <definedName name="AssCr_PayB_d">Data!$P$229</definedName>
    <definedName name="BP1_Flag_Ar">Data!$D$137:$AH$137</definedName>
    <definedName name="BP1_Flag_TL">Data!$D$137</definedName>
    <definedName name="BP2_Flag_Ar">Data!$D$138:$AH$138</definedName>
    <definedName name="BP2_Flag_TL">Data!$D$138</definedName>
    <definedName name="BP3_Flag_Ar">Data!$D$139:$AH$139</definedName>
    <definedName name="BP3_Flag_TL">Data!$D$139</definedName>
    <definedName name="BP4_Flag_Ar">Data!$D$140:$AH$140</definedName>
    <definedName name="BP4_Flag_TL">Data!$D$140</definedName>
    <definedName name="BP5_Flag_Ar">Data!$D$141:$AH$141</definedName>
    <definedName name="BP5_Flag_TL">Data!$D$141</definedName>
    <definedName name="BP6_Flag_Ar">Data!$D$142:$AH$142</definedName>
    <definedName name="BP6_Flag_TL">Data!$D$142</definedName>
    <definedName name="C_Price_Yr_Ar">Data!$D$145:$AQ$145</definedName>
    <definedName name="Capex_BC_Ar">Cashflow!$G$18:$AK$25</definedName>
    <definedName name="Capex_PP_Ar">Cashflow!$G$7:$AK$14</definedName>
    <definedName name="Capex_Type_BC_Ar">Cashflow!$D$18:$D$25</definedName>
    <definedName name="Capex_Type_PP_Ar">Cashflow!$D$7:$D$14</definedName>
    <definedName name="CashF_Nom_excl_ETS_incl_GIDI_Ar">Cashflow!$G$139:$AK$139</definedName>
    <definedName name="CashF_Nom_excl_ETS_n_GIDI_Ar">Cashflow!$G$123:$AK$123</definedName>
    <definedName name="CashF_Nom_incl_ETS_excl_GIDI_Ar">Cashflow!$G$117:$AK$117</definedName>
    <definedName name="CashF_Nom_incl_ETS_n_GIDI_Ar">Cashflow!$G$133:$AK$133</definedName>
    <definedName name="CashF_Real_excl_ETS_incl_GIDI_Ar">Cashflow!$G$141:$AK$141</definedName>
    <definedName name="CashF_Real_excl_ETS_n_GIDI_Ar">Cashflow!$G$125:$AK$125</definedName>
    <definedName name="CashF_Real_excl_ETS_n_GIDI_TL">Cashflow!$G$125</definedName>
    <definedName name="CashF_Real_incl_ETS_excl_GIDI_Ar">Cashflow!$G$119:$AK$119</definedName>
    <definedName name="CashF_Real_incl_ETS_n_GIDI_Ar">Cashflow!$G$135:$AK$135</definedName>
    <definedName name="CBAx_release_date">Data!$F$160</definedName>
    <definedName name="Co_funding_pc">In_Out!$G$58</definedName>
    <definedName name="Commission_date">In_Out!$B$9</definedName>
    <definedName name="Disc_rate">Data!$C$90</definedName>
    <definedName name="Disc_rate_low_social">Data!$C$91</definedName>
    <definedName name="Disc_rate_private_hurdle_rate">Data!$C$92</definedName>
    <definedName name="Disc_rate_private_WACC">Data!$C$93</definedName>
    <definedName name="DiscF_Ar">Cashflow!$G$3:$AK$3</definedName>
    <definedName name="DiscF_Ar_2pc">Data!$D$128:$AH$128</definedName>
    <definedName name="Discf_Ar_Private_hurdle_rate">Data!$D$129:$AH$129</definedName>
    <definedName name="DiscF_Ar_WACC">Data!$D$130:$AH$130</definedName>
    <definedName name="DiscF_TL">Cashflow!$G$3</definedName>
    <definedName name="DiscF_TL_2pc">Data!$D$128</definedName>
    <definedName name="DiscF_TL_hurdle">Data!$D$129</definedName>
    <definedName name="DiscF_TL_WACC">Data!$D$130</definedName>
    <definedName name="EB1_Off">Data!$C$97</definedName>
    <definedName name="EB2_Off">Data!$C$98</definedName>
    <definedName name="EB3_Off">Data!$C$99</definedName>
    <definedName name="EB4_Off">Data!$C$100</definedName>
    <definedName name="EB5_Off">Data!$C$101</definedName>
    <definedName name="EB6_Off">Data!$C$102</definedName>
    <definedName name="EF_Ar">In_Out!$B$42:$N$45</definedName>
    <definedName name="EF_DefaultPrice_Ar">In_Out!$B$46:$N$46</definedName>
    <definedName name="EF_DefaultPrice_ConvertFrom_Ar">In_Out!$A$48:$A$51</definedName>
    <definedName name="EF_DefaultPrice_Factor_Ar">In_Out!$B$48:$N$51</definedName>
    <definedName name="EF_Diesel">In_Out!$I$32</definedName>
    <definedName name="EF_Fuel_Ar">In_Out!$B$30:$N$30</definedName>
    <definedName name="EF_SI_Ar">In_Out!$A$42:$A$45</definedName>
    <definedName name="Emis_redn_discounted">In_Out!$B$69</definedName>
    <definedName name="Emis_redn_discounted_EB2">In_Out!$C$69</definedName>
    <definedName name="Emis_redn_undiscounted">In_Out!$B$67</definedName>
    <definedName name="Emis_redn_undiscounted_EB2">In_Out!$C$67</definedName>
    <definedName name="Emis_redn_within_EB1">In_Out!$E$67</definedName>
    <definedName name="Emis_redn_within_EB2">In_Out!$F$67</definedName>
    <definedName name="Emis_redn_within_EB3">In_Out!$G$67</definedName>
    <definedName name="Emis_redn_within_EB4">In_Out!$H$67</definedName>
    <definedName name="Emis_redn_within_EB5">In_Out!$I$67</definedName>
    <definedName name="Emis_redn_within_EB6">In_Out!$J$67</definedName>
    <definedName name="Emissions_BC_Ar">Cashflow!$G$110:$AK$110</definedName>
    <definedName name="Emissions_Diff_Ar">Cashflow!$G$112:$AK$112</definedName>
    <definedName name="Emissions_Diff_TL">Cashflow!$G$112</definedName>
    <definedName name="Emissions_PP_Ar">Cashflow!$G$103:$AK$103</definedName>
    <definedName name="ETS_P_Ar">In_Out!#REF!</definedName>
    <definedName name="ETS_P_CapFloor_Ar">Data!#REF!</definedName>
    <definedName name="Exempt_From_2037_Coal_Phaseout">In_Out!$B$12</definedName>
    <definedName name="FAT_release">Data!$C$104</definedName>
    <definedName name="FAT_release_date">Data!$C$105</definedName>
    <definedName name="Forbidden_fuel_unit_Right_Ar">Data!$F$5:$F$18</definedName>
    <definedName name="Fuel_BC_Ar">Cashflow!$G$106:$AK$109</definedName>
    <definedName name="Fuel_EF_BC_Ar">Cashflow!$E$83:$E$86</definedName>
    <definedName name="Fuel_EF_PP_Ar">Cashflow!$E$76:$E$79</definedName>
    <definedName name="Fuel_List_Ar">Data!$B$5:$B$18</definedName>
    <definedName name="Fuel_Opex_BC_Ar">Cashflow!$G$63:$AK$68</definedName>
    <definedName name="Fuel_Opex_List_Ar">Data!$B$28:$B$45</definedName>
    <definedName name="Fuel_Opex_PP_Ar">Cashflow!$G$54:$AK$59</definedName>
    <definedName name="Fuel_Opex_Type_BC_Ar">Cashflow!$D$63:$D$68</definedName>
    <definedName name="Fuel_Opex_Type_PP_Ar">Cashflow!$D$54:$D$59</definedName>
    <definedName name="Fuel_Opex_Type2_BC_Ar">Cashflow!$C$63:$C$68</definedName>
    <definedName name="Fuel_Opex_Type2_PP_Ar">Cashflow!$C$54:$C$59</definedName>
    <definedName name="Fuel_P_BC1_Ar">Cashflow!$G$151:$AK$151</definedName>
    <definedName name="Fuel_P_BC2_Ar">Cashflow!$G$153:$AK$153</definedName>
    <definedName name="Fuel_P_BC3_Ar">Cashflow!$G$155:$AK$155</definedName>
    <definedName name="Fuel_P_BC4_Ar">Cashflow!$G$157:$AK$157</definedName>
    <definedName name="Fuel_P_PP1_Ar">Cashflow!$G$150:$AK$150</definedName>
    <definedName name="Fuel_P_PP2_Ar">Cashflow!$G$152:$AK$152</definedName>
    <definedName name="Fuel_P_PP3_Ar">Cashflow!$G$154:$AK$154</definedName>
    <definedName name="Fuel_P_PP4_Ar">Cashflow!$G$156:$AK$156</definedName>
    <definedName name="Fuel_P_Real_Default_BC1_Ar">Cashflow!$G$162:$AK$162</definedName>
    <definedName name="Fuel_P_Real_Default_BC2_Ar">Cashflow!$G$164:$AK$164</definedName>
    <definedName name="Fuel_P_Real_Default_BC3_Ar">Cashflow!$G$166:$AK$166</definedName>
    <definedName name="Fuel_P_Real_Default_BC4_Ar">Cashflow!$G$168:$AK$168</definedName>
    <definedName name="Fuel_P_Real_Default_PP1_Ar">Cashflow!$G$161:$AK$161</definedName>
    <definedName name="Fuel_P_Real_Default_PP2_Ar">Cashflow!$G$163:$AK$163</definedName>
    <definedName name="Fuel_P_Real_Default_PP3_Ar">Cashflow!$G$165:$AK$165</definedName>
    <definedName name="Fuel_P_Real_Default_PP4_Ar">Cashflow!$G$167:$AK$167</definedName>
    <definedName name="Fuel_PP_Ar">Cashflow!$G$99:$AK$102</definedName>
    <definedName name="Fuel_Type_BC_Ar">Cashflow!$D$106:$D$109</definedName>
    <definedName name="Fuel_Type_PP_Ar">Cashflow!$D$99:$D$102</definedName>
    <definedName name="Fuel_Units_BC_Ar">Cashflow!$C$106:$C$109</definedName>
    <definedName name="Fuel_Units_PP_Ar">Cashflow!$C$99:$C$102</definedName>
    <definedName name="FuelPrice_Implied_Ar">Cashflow!$G$150:$AK$157</definedName>
    <definedName name="FuelPrice_Implied_PPBC_Ar">Cashflow!$F$150:$F$157</definedName>
    <definedName name="FuelPrice_Implied_Type_Ar">Cashflow!$D$150:$D$157</definedName>
    <definedName name="FuelPrice_Implied_Unit_Ar">Cashflow!$E$150:$E$157</definedName>
    <definedName name="FuelPrice_RealStd_Ar">Cashflow!$G$161:$AK$168</definedName>
    <definedName name="FuelPrice_RealStd_PPBC_Ar">Cashflow!$F$161:$F$168</definedName>
    <definedName name="FuelPrice_RealStd_Type_Ar">Cashflow!$D$161:$D$168</definedName>
    <definedName name="FuelPrice_RealStd_Unit_Ar">Cashflow!$E$161:$E$168</definedName>
    <definedName name="GIDI">In_Out!$B$14</definedName>
    <definedName name="GIDI_funding_Ar">Cashflow!$G$130:$AK$130</definedName>
    <definedName name="GIDI_funding_PV">Cashflow!$C$130</definedName>
    <definedName name="GJ_MWh">Data!$C$88</definedName>
    <definedName name="Heat_Pump_Project">In_Out!$B$11</definedName>
    <definedName name="High_Temp_Heat_Pump">In_Out!$B$11</definedName>
    <definedName name="Inflation_Ar">In_Out!$B$22:$AE$22</definedName>
    <definedName name="InflationFac_Ar">In_Out!$B$23:$AE$23</definedName>
    <definedName name="IRR_Nom_excl_ETS_incl_GIDI">Cashflow!$C$139</definedName>
    <definedName name="IRR_Nom_excl_ETS_n_GIDI">Cashflow!$C$123</definedName>
    <definedName name="IRR_Nom_incl_ETS_excl_GIDI">Cashflow!$C$117</definedName>
    <definedName name="IRR_Nom_incl_ETS_n_GIDI">Cashflow!$C$133</definedName>
    <definedName name="IRR_Real_excl_ETS_incl_GIDI">Cashflow!$C$141</definedName>
    <definedName name="IRR_Real_excl_ETS_n_GIDI">Cashflow!$C$125</definedName>
    <definedName name="IRR_Real_incl_ETS_excl_GIDI">Cashflow!$C$119</definedName>
    <definedName name="IRR_Real_incl_ETS_n_GIDI">Cashflow!$C$135</definedName>
    <definedName name="Life">Data!$C$96</definedName>
    <definedName name="Life_input">In_Out!$B$13</definedName>
    <definedName name="MAC">In_Out!$B$71</definedName>
    <definedName name="MAC_EB2">In_Out!$C$71</definedName>
    <definedName name="MAC_ETS_thresh">Data!$C$123</definedName>
    <definedName name="MAC_GIDI">In_Out!$B$73</definedName>
    <definedName name="MAC_GIDI_EB2">In_Out!$C$73</definedName>
    <definedName name="MAC_residual_applicant">Data!$C$121</definedName>
    <definedName name="MAC_Shadow_thresh">In_Out!$B$72</definedName>
    <definedName name="MAC_Shadow_Thresh_EB2">In_Out!$C$72</definedName>
    <definedName name="Max_life">Data!$C$95</definedName>
    <definedName name="Months_Submission_til_Commission">Data!$D$257</definedName>
    <definedName name="MPS_release_date">Data!$F$1590</definedName>
    <definedName name="NF_Opex_BC_Ar">Cashflow!$G$42:$AK$47</definedName>
    <definedName name="NF_Opex_PP_Ar">Cashflow!$G$33:$AK$38</definedName>
    <definedName name="NF_Opex_Type_BC_Ar">Cashflow!$D$42:$D$47</definedName>
    <definedName name="NF_Opex_Type_PP_Ar">Cashflow!$D$33:$D$38</definedName>
    <definedName name="Nm_Applicant">In_Out!$B$3</definedName>
    <definedName name="Nm_Project">In_Out!$B$6</definedName>
    <definedName name="Num_Fuels">Cashflow!$B$68</definedName>
    <definedName name="Num_yrs_additional_EB2">In_Out!$C$65</definedName>
    <definedName name="Num_yrs_additional_lifetime">In_Out!$B$65</definedName>
    <definedName name="OK_Returns_Bottom_Ar">Data!$C$199:$J$199</definedName>
    <definedName name="OK_Returns_Capex_Ar">Data!$C$195:$J$195</definedName>
    <definedName name="OK_Returns_Result_Ar">Data!$B$196:$B$199</definedName>
    <definedName name="OK_Returns_Top_Ar">Data!$C$196:$J$196</definedName>
    <definedName name="PayB_incl_ETS_n_GIDI">In_Out!$C$58</definedName>
    <definedName name="PayB_Nom_excl_ETS_incl_GIDI">Cashflow!$C$140</definedName>
    <definedName name="PayB_Nom_excl_ETS_n_GIDI">Cashflow!$C$124</definedName>
    <definedName name="PayB_Nom_incl_ETS_excl_GIDI">Cashflow!$C$118</definedName>
    <definedName name="PayB_Nom_incl_ETS_n_GIDI">Cashflow!$C$134</definedName>
    <definedName name="PayB_Real_excl_ETS_incl_GIDI">Cashflow!$C$142</definedName>
    <definedName name="PayB_Real_excl_ETS_n_GIDI">Cashflow!$C$126</definedName>
    <definedName name="PayB_Real_incl_ETS_excl_GIDI">Cashflow!$C$120</definedName>
    <definedName name="PayB_Real_incl_ETS_n_GIDI">Cashflow!$C$136</definedName>
    <definedName name="PleaseExplain1">Data!$B$108</definedName>
    <definedName name="PleaseExplain2">Data!$B$109</definedName>
    <definedName name="PleaseExplain3">Data!$B$110</definedName>
    <definedName name="Project_involves_coal">Data!$C$94</definedName>
    <definedName name="Project_Life_Flag_Ar">Data!$D$136:$AH$136</definedName>
    <definedName name="Project_Life_Flag_TL">Data!$D$136</definedName>
    <definedName name="Project_replaces_coal">In_Out!$B$10</definedName>
    <definedName name="Project_Year_Offset">Data!$C$116</definedName>
    <definedName name="Raw_Hurdle_Rate">Data!$C$89</definedName>
    <definedName name="Real_ETS_prices_in_project_year_Ar">Data!$D$131:$AH$131</definedName>
    <definedName name="Real_ETS_prices_in_project_year_TL">Data!$D$131</definedName>
    <definedName name="Real_Nom">In_Out!$B$17</definedName>
    <definedName name="Real_Shadow_prices_in_project_year_Ar">Data!$D$133:$AH$133</definedName>
    <definedName name="Real_Shadow_prices_in_project_year_Ar_high">Data!$D$132:$AH$132</definedName>
    <definedName name="Real_Shadow_prices_in_project_year_Ar_low">Data!$D$134:$AH$134</definedName>
    <definedName name="Real_Shadow_prices_in_project_year_TL">Data!$D$133</definedName>
    <definedName name="Real_Shadow_prices_in_project_year_TL_high">Data!$D$132</definedName>
    <definedName name="Real_Shadow_prices_in_project_year_TL_low">Data!$D$134</definedName>
    <definedName name="Real_Yr">Data!$C$159</definedName>
    <definedName name="Region">In_Out!$B$5</definedName>
    <definedName name="Regions_Ar">Data!$B$53:$B$69</definedName>
    <definedName name="Score_Abate">In_Out!$D$78</definedName>
    <definedName name="Score_Abate_EB2">In_Out!$C$78</definedName>
    <definedName name="Score_CoFund">In_Out!$C$76</definedName>
    <definedName name="Score_PayB">In_Out!$C$77</definedName>
    <definedName name="Score_Speed">Data!$D$260</definedName>
    <definedName name="Sector">In_Out!$B$4</definedName>
    <definedName name="Sectors_Ar">Data!$B$72:$B$85</definedName>
    <definedName name="Shadow_C_Ar">Data!$D$147:$AO$147</definedName>
    <definedName name="Shadow_C_Ar_High">Data!$D$146:$AO$146</definedName>
    <definedName name="Shadow_C_Ar_Low">Data!$D$148:$AO$148</definedName>
    <definedName name="Shadow_Fac">Data!$C$160</definedName>
    <definedName name="Shadow_off">Data!$C$151</definedName>
    <definedName name="Shadow_p_yr">Data!$C$150</definedName>
    <definedName name="Start_Yr">In_Out!$B$8</definedName>
    <definedName name="Submission_date">In_Out!$B$7</definedName>
    <definedName name="Thresh_IRR">In_Out!$B$26</definedName>
    <definedName name="Thresh_Payback">In_Out!$B$27</definedName>
    <definedName name="Threshold_payback_GIDI">Data!$C$204</definedName>
    <definedName name="Time_period_Ar">Cashflow!$G$2:$AK$2</definedName>
    <definedName name="TooMuch_Thresh">Data!$C$112</definedName>
    <definedName name="Tot_Capex">In_Out!$G$57</definedName>
    <definedName name="Tot_Capex_BC_Ar">Cashflow!$G$26:$AK$26</definedName>
    <definedName name="Tot_Capex_Diff_Ar">Cashflow!$G$28:$AK$28</definedName>
    <definedName name="Tot_Capex_Diff_TL">Cashflow!$G$28</definedName>
    <definedName name="Tot_Capex_PP_Ar">Cashflow!$G$15:$AK$15</definedName>
    <definedName name="Tot_ETS_Opex_BC_Ar">Cashflow!$G$87:$AK$87</definedName>
    <definedName name="Tot_ETS_Opex_Diff_Ar">Cashflow!$G$89:$AK$89</definedName>
    <definedName name="Tot_ETS_Opex_PP_Ar">Cashflow!$G$80:$AK$80</definedName>
    <definedName name="Tot_Fuel_Opex_BC_Ar">Cashflow!$G$69:$AK$69</definedName>
    <definedName name="Tot_Fuel_Opex_Diff_Ar">Cashflow!$G$71:$AK$71</definedName>
    <definedName name="Tot_Fuel_Opex_PP_Ar">Cashflow!$G$60:$AK$60</definedName>
    <definedName name="Tot_NF_Opex_BC_Ar">Cashflow!$G$48:$AK$48</definedName>
    <definedName name="Tot_NF_Opex_Diff_Ar">Cashflow!$G$50:$AK$50</definedName>
    <definedName name="Tot_NF_Opex_PP_Ar">Cashflow!$G$39:$AK$39</definedName>
    <definedName name="Tot_Opex_BC_Ar">Cashflow!$G$93:$AK$93</definedName>
    <definedName name="Tot_Opex_Diff_Ar">Cashflow!$G$94:$AK$94</definedName>
    <definedName name="Tot_Opex_PP_Ar">Cashflow!$G$92:$AK$92</definedName>
    <definedName name="TotCost_Diff_PV">In_Out!$B$70</definedName>
    <definedName name="TotCost_Diff_PV_EB2">In_Out!$C$70</definedName>
    <definedName name="Transport_EF_Bio">Data!$D$168</definedName>
    <definedName name="Transport_EF_Coal">Data!$C$168</definedName>
    <definedName name="Unacceptable_message">Data!$C$205</definedName>
    <definedName name="Year_Ar">Cashflow!$G$1:$AK$1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4" l="1"/>
  <c r="C205" i="5"/>
  <c r="C150" i="5"/>
  <c r="B7" i="2"/>
  <c r="B8" i="2"/>
  <c r="B47" i="2"/>
  <c r="B46" i="2"/>
  <c r="B45" i="2"/>
  <c r="B44" i="2"/>
  <c r="B43" i="2"/>
  <c r="B42" i="2"/>
  <c r="B38" i="2"/>
  <c r="B37" i="2"/>
  <c r="B36" i="2"/>
  <c r="B35" i="2"/>
  <c r="B34" i="2"/>
  <c r="B33" i="2"/>
  <c r="B25" i="2"/>
  <c r="B24" i="2"/>
  <c r="B23" i="2"/>
  <c r="B22" i="2"/>
  <c r="B21" i="2"/>
  <c r="B20" i="2"/>
  <c r="B19" i="2"/>
  <c r="B14" i="2"/>
  <c r="B13" i="2"/>
  <c r="B12" i="2"/>
  <c r="B11" i="2"/>
  <c r="B10" i="2"/>
  <c r="B9" i="2"/>
  <c r="B18" i="2"/>
  <c r="L44" i="4"/>
  <c r="K44" i="4"/>
  <c r="I44" i="4"/>
  <c r="J45" i="4"/>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AK76"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AK77"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AK78"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K79" i="2"/>
  <c r="G76" i="2"/>
  <c r="D76" i="2" l="1"/>
  <c r="D77" i="2"/>
  <c r="C17" i="4" l="1"/>
  <c r="C18" i="4"/>
  <c r="C12" i="4"/>
  <c r="G85" i="2" l="1"/>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C102" i="5" l="1"/>
  <c r="C101" i="5"/>
  <c r="C100" i="5"/>
  <c r="C97" i="5"/>
  <c r="C99" i="5"/>
  <c r="C94" i="5" a="1"/>
  <c r="C94" i="5" s="1"/>
  <c r="C10" i="4" s="1"/>
  <c r="C89" i="5" l="1"/>
  <c r="C92" i="5" s="1"/>
  <c r="C59" i="4" l="1"/>
  <c r="C20" i="7" s="1"/>
  <c r="B2" i="1" l="1"/>
  <c r="G78" i="2" l="1"/>
  <c r="G79" i="2"/>
  <c r="D257" i="5"/>
  <c r="D260" i="5" l="1"/>
  <c r="C79" i="4" s="1"/>
  <c r="B79" i="4"/>
  <c r="D126" i="5" a="1"/>
  <c r="K130" i="5" l="1"/>
  <c r="W130" i="5"/>
  <c r="O130" i="5"/>
  <c r="P130" i="5"/>
  <c r="AB130" i="5"/>
  <c r="E130" i="5"/>
  <c r="Q130" i="5"/>
  <c r="AC130" i="5"/>
  <c r="F130" i="5"/>
  <c r="R130" i="5"/>
  <c r="AD130" i="5"/>
  <c r="G130" i="5"/>
  <c r="S130" i="5"/>
  <c r="AE130" i="5"/>
  <c r="H130" i="5"/>
  <c r="T130" i="5"/>
  <c r="AF130" i="5"/>
  <c r="I130" i="5"/>
  <c r="U130" i="5"/>
  <c r="AG130" i="5"/>
  <c r="J130" i="5"/>
  <c r="V130" i="5"/>
  <c r="AH130" i="5"/>
  <c r="L130" i="5"/>
  <c r="X130" i="5"/>
  <c r="M130" i="5"/>
  <c r="Y130" i="5"/>
  <c r="N130" i="5"/>
  <c r="Z130" i="5"/>
  <c r="AA130" i="5"/>
  <c r="G129" i="5"/>
  <c r="N129" i="5"/>
  <c r="U129" i="5"/>
  <c r="AD129" i="5"/>
  <c r="Y129" i="5"/>
  <c r="I129" i="5"/>
  <c r="R129" i="5"/>
  <c r="M129" i="5"/>
  <c r="AF129" i="5"/>
  <c r="F129" i="5"/>
  <c r="X129" i="5"/>
  <c r="T129" i="5"/>
  <c r="W129" i="5"/>
  <c r="K129" i="5"/>
  <c r="AH129" i="5"/>
  <c r="AA129" i="5"/>
  <c r="O129" i="5"/>
  <c r="Z129" i="5"/>
  <c r="AC129" i="5"/>
  <c r="L129" i="5"/>
  <c r="AB129" i="5"/>
  <c r="S129" i="5"/>
  <c r="J129" i="5"/>
  <c r="AG129" i="5"/>
  <c r="Q129" i="5"/>
  <c r="AE129" i="5"/>
  <c r="E129" i="5"/>
  <c r="P129" i="5"/>
  <c r="V129" i="5"/>
  <c r="H129" i="5"/>
  <c r="D126" i="5"/>
  <c r="E128" i="5"/>
  <c r="Q128" i="5"/>
  <c r="AC128" i="5"/>
  <c r="F128" i="5"/>
  <c r="R128" i="5"/>
  <c r="AD128" i="5"/>
  <c r="AE128" i="5"/>
  <c r="T128" i="5"/>
  <c r="U128" i="5"/>
  <c r="V128" i="5"/>
  <c r="W128" i="5"/>
  <c r="L128" i="5"/>
  <c r="X128" i="5"/>
  <c r="M128" i="5"/>
  <c r="Y128" i="5"/>
  <c r="AA128" i="5"/>
  <c r="P128" i="5"/>
  <c r="S128" i="5"/>
  <c r="AF128" i="5"/>
  <c r="AG128" i="5"/>
  <c r="AH128" i="5"/>
  <c r="N128" i="5"/>
  <c r="Z128" i="5"/>
  <c r="O128" i="5"/>
  <c r="AB128" i="5"/>
  <c r="G128" i="5"/>
  <c r="H128" i="5"/>
  <c r="I128" i="5"/>
  <c r="J128" i="5"/>
  <c r="K128" i="5"/>
  <c r="X127" i="5"/>
  <c r="L127" i="5"/>
  <c r="Z127" i="5"/>
  <c r="N127" i="5"/>
  <c r="Y127" i="5"/>
  <c r="W127" i="5"/>
  <c r="K127" i="5"/>
  <c r="AG127" i="5"/>
  <c r="U127" i="5"/>
  <c r="I127" i="5"/>
  <c r="AF127" i="5"/>
  <c r="T127" i="5"/>
  <c r="H127" i="5"/>
  <c r="AE127" i="5"/>
  <c r="S127" i="5"/>
  <c r="G127" i="5"/>
  <c r="AD127" i="5"/>
  <c r="R127" i="5"/>
  <c r="F127" i="5"/>
  <c r="AC127" i="5"/>
  <c r="Q127" i="5"/>
  <c r="E127" i="5"/>
  <c r="AB127" i="5"/>
  <c r="P127" i="5"/>
  <c r="AA127" i="5"/>
  <c r="O127" i="5"/>
  <c r="M127" i="5"/>
  <c r="AH127" i="5"/>
  <c r="V127" i="5"/>
  <c r="J127" i="5"/>
  <c r="D130" i="5" l="1"/>
  <c r="D129" i="5"/>
  <c r="D127" i="5"/>
  <c r="D128" i="5"/>
  <c r="C115" i="5"/>
  <c r="M40" i="4" l="1"/>
  <c r="M51" i="4" s="1"/>
  <c r="K243" i="5"/>
  <c r="K244" i="5" s="1"/>
  <c r="K245" i="5" s="1"/>
  <c r="K246" i="5" s="1"/>
  <c r="K247" i="5" s="1"/>
  <c r="K248" i="5" s="1"/>
  <c r="K249" i="5" s="1"/>
  <c r="K250" i="5" s="1"/>
  <c r="K251" i="5" s="1"/>
  <c r="H3" i="2"/>
  <c r="J48" i="4"/>
  <c r="M243" i="5" l="1"/>
  <c r="M244" i="5"/>
  <c r="M245" i="5"/>
  <c r="M246" i="5"/>
  <c r="M247" i="5"/>
  <c r="M248" i="5"/>
  <c r="M249" i="5"/>
  <c r="M250" i="5"/>
  <c r="M251" i="5"/>
  <c r="M252" i="5"/>
  <c r="M242" i="5"/>
  <c r="M214" i="5"/>
  <c r="M215" i="5"/>
  <c r="M216" i="5"/>
  <c r="M217" i="5"/>
  <c r="M218" i="5"/>
  <c r="M219" i="5"/>
  <c r="M220" i="5"/>
  <c r="M221" i="5"/>
  <c r="M222" i="5"/>
  <c r="M223" i="5"/>
  <c r="M213" i="5"/>
  <c r="P226" i="5"/>
  <c r="AE230" i="5" s="1"/>
  <c r="C98" i="5"/>
  <c r="Q230" i="5" l="1"/>
  <c r="M237" i="5"/>
  <c r="M236" i="5"/>
  <c r="M235" i="5"/>
  <c r="AD230" i="5"/>
  <c r="M229" i="5"/>
  <c r="X230" i="5"/>
  <c r="Z230" i="5"/>
  <c r="R230" i="5"/>
  <c r="M228" i="5"/>
  <c r="Y230" i="5"/>
  <c r="M234" i="5"/>
  <c r="S230" i="5"/>
  <c r="AA230" i="5"/>
  <c r="M233" i="5"/>
  <c r="T230" i="5"/>
  <c r="AC230" i="5"/>
  <c r="M232" i="5"/>
  <c r="U230" i="5"/>
  <c r="AB230" i="5"/>
  <c r="M231" i="5"/>
  <c r="V230" i="5"/>
  <c r="AF230" i="5"/>
  <c r="M238" i="5"/>
  <c r="M230" i="5"/>
  <c r="W230" i="5"/>
  <c r="F50" i="4"/>
  <c r="B109" i="2" l="1"/>
  <c r="B108" i="2"/>
  <c r="B107" i="2"/>
  <c r="B106" i="2"/>
  <c r="B100" i="2"/>
  <c r="B101" i="2"/>
  <c r="B102" i="2"/>
  <c r="B99" i="2"/>
  <c r="B44" i="4"/>
  <c r="B45" i="4"/>
  <c r="M45" i="4"/>
  <c r="M44" i="4"/>
  <c r="E45" i="4"/>
  <c r="D45" i="4"/>
  <c r="C45" i="4"/>
  <c r="E147" i="2" l="1"/>
  <c r="F190" i="5"/>
  <c r="G190" i="5" s="1"/>
  <c r="J190" i="5" s="1"/>
  <c r="K190" i="5" s="1"/>
  <c r="F189" i="5"/>
  <c r="H189" i="5" s="1"/>
  <c r="B179" i="5"/>
  <c r="G175" i="5"/>
  <c r="H175" i="5"/>
  <c r="I175" i="5"/>
  <c r="J175" i="5"/>
  <c r="K175" i="5"/>
  <c r="F175" i="5"/>
  <c r="B199" i="5"/>
  <c r="H190" i="5" l="1"/>
  <c r="G189" i="5"/>
  <c r="J189" i="5" s="1"/>
  <c r="K189" i="5" s="1"/>
  <c r="D197" i="5"/>
  <c r="D198" i="5" s="1"/>
  <c r="D199" i="5" s="1"/>
  <c r="C198" i="5"/>
  <c r="C199" i="5" s="1"/>
  <c r="E197" i="5" l="1"/>
  <c r="F197" i="5" s="1"/>
  <c r="G197" i="5" s="1"/>
  <c r="H197" i="5" s="1"/>
  <c r="I197" i="5" s="1"/>
  <c r="E198" i="5" l="1"/>
  <c r="E199" i="5" s="1"/>
  <c r="E144" i="5" l="1"/>
  <c r="F144" i="5"/>
  <c r="G144" i="5"/>
  <c r="H144" i="5"/>
  <c r="I144" i="5"/>
  <c r="J144" i="5"/>
  <c r="K144" i="5"/>
  <c r="L144" i="5"/>
  <c r="M144" i="5"/>
  <c r="N144" i="5"/>
  <c r="O144" i="5"/>
  <c r="P144" i="5"/>
  <c r="Q144" i="5"/>
  <c r="R144" i="5"/>
  <c r="S144" i="5"/>
  <c r="T144" i="5"/>
  <c r="U144" i="5"/>
  <c r="V144" i="5"/>
  <c r="W144" i="5"/>
  <c r="X144" i="5"/>
  <c r="Y144" i="5"/>
  <c r="Z144" i="5"/>
  <c r="AA144" i="5"/>
  <c r="AB144" i="5"/>
  <c r="AC144" i="5"/>
  <c r="AD144" i="5"/>
  <c r="AE144" i="5"/>
  <c r="AF144" i="5"/>
  <c r="AG144" i="5"/>
  <c r="AH144" i="5"/>
  <c r="AI144" i="5"/>
  <c r="AJ144" i="5"/>
  <c r="AK144" i="5"/>
  <c r="AL144" i="5"/>
  <c r="AM144" i="5"/>
  <c r="AN144" i="5"/>
  <c r="AO144" i="5"/>
  <c r="D144" i="5"/>
  <c r="C151" i="5"/>
  <c r="AH181" i="5" l="1"/>
  <c r="M181" i="5"/>
  <c r="AH180" i="5"/>
  <c r="M180" i="5"/>
  <c r="C167" i="5"/>
  <c r="C168" i="5" s="1"/>
  <c r="C159" i="5"/>
  <c r="D166" i="5"/>
  <c r="D165" i="5"/>
  <c r="M32" i="4"/>
  <c r="B32" i="4"/>
  <c r="F198" i="5" l="1"/>
  <c r="F199" i="5" s="1"/>
  <c r="D167" i="5"/>
  <c r="D168" i="5" s="1"/>
  <c r="AI181" i="5"/>
  <c r="AI180" i="5"/>
  <c r="G32" i="4"/>
  <c r="F32" i="4"/>
  <c r="H32" i="4"/>
  <c r="G198" i="5" l="1"/>
  <c r="G199" i="5" s="1"/>
  <c r="E32" i="4"/>
  <c r="C32" i="4"/>
  <c r="C34" i="4" s="1"/>
  <c r="D32" i="4"/>
  <c r="H198" i="5" l="1"/>
  <c r="H199" i="5" s="1"/>
  <c r="I198" i="5" l="1"/>
  <c r="I199" i="5" s="1"/>
  <c r="B59" i="4" l="1"/>
  <c r="C17" i="7" s="1"/>
  <c r="C38" i="4"/>
  <c r="D38" i="4"/>
  <c r="E38" i="4"/>
  <c r="C39" i="5"/>
  <c r="C40" i="5"/>
  <c r="C41" i="5"/>
  <c r="D34" i="4"/>
  <c r="D44" i="4" s="1"/>
  <c r="E34" i="4"/>
  <c r="E44" i="4" s="1"/>
  <c r="C40" i="4" l="1"/>
  <c r="C51" i="4" s="1"/>
  <c r="D40" i="4"/>
  <c r="D51" i="4" s="1"/>
  <c r="E40" i="4"/>
  <c r="E51" i="4" s="1"/>
  <c r="D42" i="4"/>
  <c r="D43" i="4" s="1"/>
  <c r="E42" i="4"/>
  <c r="E43" i="4" s="1"/>
  <c r="E50" i="4" l="1"/>
  <c r="D50" i="4"/>
  <c r="B38" i="4"/>
  <c r="B40" i="4" s="1"/>
  <c r="B51" i="4" s="1"/>
  <c r="C42" i="4"/>
  <c r="C43" i="4" s="1"/>
  <c r="AH179" i="5"/>
  <c r="AH178" i="5"/>
  <c r="M178" i="5"/>
  <c r="AH177" i="5"/>
  <c r="M177" i="5"/>
  <c r="C177" i="5"/>
  <c r="C178" i="5" s="1"/>
  <c r="C179" i="5" s="1"/>
  <c r="C180" i="5" s="1"/>
  <c r="AH176" i="5"/>
  <c r="M176" i="5"/>
  <c r="BB174" i="5"/>
  <c r="BA174" i="5"/>
  <c r="AZ174" i="5"/>
  <c r="AY174" i="5"/>
  <c r="AX174" i="5"/>
  <c r="AW174" i="5"/>
  <c r="AV174" i="5"/>
  <c r="AU174" i="5"/>
  <c r="AT174" i="5"/>
  <c r="AS174" i="5"/>
  <c r="AR174" i="5"/>
  <c r="AQ174" i="5"/>
  <c r="AP174" i="5"/>
  <c r="AO174" i="5"/>
  <c r="AN174" i="5"/>
  <c r="AM174" i="5"/>
  <c r="AL174" i="5"/>
  <c r="AK174" i="5"/>
  <c r="AJ174" i="5"/>
  <c r="AI174" i="5"/>
  <c r="AH174" i="5"/>
  <c r="C44" i="4"/>
  <c r="B34" i="4"/>
  <c r="B43" i="4" s="1"/>
  <c r="N34" i="4"/>
  <c r="F34" i="4"/>
  <c r="F38" i="4" s="1"/>
  <c r="F40" i="4" s="1"/>
  <c r="G34" i="4"/>
  <c r="G38" i="4" s="1"/>
  <c r="G40" i="4" s="1"/>
  <c r="H34" i="4"/>
  <c r="H44" i="4" s="1"/>
  <c r="I34" i="4"/>
  <c r="J34" i="4"/>
  <c r="K34" i="4"/>
  <c r="K45" i="4" s="1"/>
  <c r="L34" i="4"/>
  <c r="M34" i="4"/>
  <c r="H35" i="4"/>
  <c r="I38" i="4"/>
  <c r="J38" i="4"/>
  <c r="K38" i="4"/>
  <c r="L38" i="4"/>
  <c r="N38" i="4"/>
  <c r="M42" i="4"/>
  <c r="M43" i="4" s="1"/>
  <c r="N44" i="4"/>
  <c r="F45" i="4"/>
  <c r="G45" i="4"/>
  <c r="H45" i="4"/>
  <c r="N45" i="4"/>
  <c r="M50" i="4"/>
  <c r="A18" i="4"/>
  <c r="K40" i="4" l="1"/>
  <c r="J40" i="4"/>
  <c r="I40" i="4"/>
  <c r="N40" i="4"/>
  <c r="N51" i="4" s="1"/>
  <c r="L42" i="4"/>
  <c r="L43" i="4" s="1"/>
  <c r="L40" i="4"/>
  <c r="L51" i="4" s="1"/>
  <c r="J44" i="4"/>
  <c r="I42" i="4"/>
  <c r="I43" i="4" s="1"/>
  <c r="K42" i="4"/>
  <c r="K43" i="4" s="1"/>
  <c r="AI178" i="5"/>
  <c r="N176" i="5"/>
  <c r="O176" i="5" s="1"/>
  <c r="P176" i="5" s="1"/>
  <c r="Q176" i="5" s="1"/>
  <c r="R176" i="5" s="1"/>
  <c r="S176" i="5" s="1"/>
  <c r="T176" i="5" s="1"/>
  <c r="U176" i="5" s="1"/>
  <c r="V176" i="5" s="1"/>
  <c r="W176" i="5" s="1"/>
  <c r="X176" i="5" s="1"/>
  <c r="Y176" i="5" s="1"/>
  <c r="Z176" i="5" s="1"/>
  <c r="AA176" i="5" s="1"/>
  <c r="AB176" i="5" s="1"/>
  <c r="AC176" i="5" s="1"/>
  <c r="AD176" i="5" s="1"/>
  <c r="AE176" i="5" s="1"/>
  <c r="AF176" i="5" s="1"/>
  <c r="N180" i="5"/>
  <c r="C181" i="5"/>
  <c r="N181" i="5" s="1"/>
  <c r="M179" i="5"/>
  <c r="F44" i="4"/>
  <c r="I45" i="4"/>
  <c r="I49" i="4" s="1"/>
  <c r="N177" i="5"/>
  <c r="O177" i="5" s="1"/>
  <c r="P177" i="5" s="1"/>
  <c r="Q177" i="5" s="1"/>
  <c r="R177" i="5" s="1"/>
  <c r="S177" i="5" s="1"/>
  <c r="T177" i="5" s="1"/>
  <c r="U177" i="5" s="1"/>
  <c r="V177" i="5" s="1"/>
  <c r="W177" i="5" s="1"/>
  <c r="X177" i="5" s="1"/>
  <c r="Y177" i="5" s="1"/>
  <c r="Z177" i="5" s="1"/>
  <c r="AA177" i="5" s="1"/>
  <c r="AB177" i="5" s="1"/>
  <c r="AC177" i="5" s="1"/>
  <c r="AD177" i="5" s="1"/>
  <c r="AE177" i="5" s="1"/>
  <c r="AF177" i="5" s="1"/>
  <c r="AI177" i="5"/>
  <c r="AI176" i="5"/>
  <c r="N178" i="5"/>
  <c r="H38" i="4"/>
  <c r="G42" i="4"/>
  <c r="G50" i="4"/>
  <c r="G44" i="4"/>
  <c r="C50" i="4"/>
  <c r="K49" i="4"/>
  <c r="J42" i="4"/>
  <c r="J43" i="4" s="1"/>
  <c r="F42" i="4"/>
  <c r="L45" i="4"/>
  <c r="L49" i="4" s="1"/>
  <c r="N42" i="4"/>
  <c r="N43" i="4" s="1"/>
  <c r="I51" i="4" l="1"/>
  <c r="I50" i="4" s="1"/>
  <c r="J51" i="4"/>
  <c r="J50" i="4" s="1"/>
  <c r="K51" i="4"/>
  <c r="K50" i="4" s="1"/>
  <c r="L50" i="4"/>
  <c r="N50" i="4"/>
  <c r="H42" i="4"/>
  <c r="H43" i="4" s="1"/>
  <c r="H40" i="4"/>
  <c r="F176" i="5"/>
  <c r="G43" i="4"/>
  <c r="G49" i="4"/>
  <c r="F43" i="4"/>
  <c r="F49" i="4"/>
  <c r="K177" i="5"/>
  <c r="K176" i="5"/>
  <c r="AI179" i="5"/>
  <c r="J176" i="5"/>
  <c r="AJ177" i="5"/>
  <c r="AK177" i="5" s="1"/>
  <c r="AL177" i="5" s="1"/>
  <c r="AM177" i="5" s="1"/>
  <c r="AN177" i="5" s="1"/>
  <c r="AO177" i="5" s="1"/>
  <c r="AP177" i="5" s="1"/>
  <c r="AQ177" i="5" s="1"/>
  <c r="AR177" i="5" s="1"/>
  <c r="AS177" i="5" s="1"/>
  <c r="AT177" i="5" s="1"/>
  <c r="AU177" i="5" s="1"/>
  <c r="AV177" i="5" s="1"/>
  <c r="AW177" i="5" s="1"/>
  <c r="AX177" i="5" s="1"/>
  <c r="AY177" i="5" s="1"/>
  <c r="AZ177" i="5" s="1"/>
  <c r="BA177" i="5" s="1"/>
  <c r="BB177" i="5" s="1"/>
  <c r="I176" i="5"/>
  <c r="G176" i="5"/>
  <c r="N179" i="5"/>
  <c r="O179" i="5" s="1"/>
  <c r="P179" i="5" s="1"/>
  <c r="Q179" i="5" s="1"/>
  <c r="R179" i="5" s="1"/>
  <c r="S179" i="5" s="1"/>
  <c r="T179" i="5" s="1"/>
  <c r="U179" i="5" s="1"/>
  <c r="V179" i="5" s="1"/>
  <c r="W179" i="5" s="1"/>
  <c r="X179" i="5" s="1"/>
  <c r="Y179" i="5" s="1"/>
  <c r="Z179" i="5" s="1"/>
  <c r="AA179" i="5" s="1"/>
  <c r="AB179" i="5" s="1"/>
  <c r="AC179" i="5" s="1"/>
  <c r="AD179" i="5" s="1"/>
  <c r="AE179" i="5" s="1"/>
  <c r="AF179" i="5" s="1"/>
  <c r="J179" i="5" s="1"/>
  <c r="H176" i="5"/>
  <c r="AJ176" i="5"/>
  <c r="AK176" i="5" s="1"/>
  <c r="AL176" i="5" s="1"/>
  <c r="AM176" i="5" s="1"/>
  <c r="AN176" i="5" s="1"/>
  <c r="AO176" i="5" s="1"/>
  <c r="AP176" i="5" s="1"/>
  <c r="AQ176" i="5" s="1"/>
  <c r="AR176" i="5" s="1"/>
  <c r="AS176" i="5" s="1"/>
  <c r="AT176" i="5" s="1"/>
  <c r="AU176" i="5" s="1"/>
  <c r="AV176" i="5" s="1"/>
  <c r="AW176" i="5" s="1"/>
  <c r="AX176" i="5" s="1"/>
  <c r="AY176" i="5" s="1"/>
  <c r="AZ176" i="5" s="1"/>
  <c r="BA176" i="5" s="1"/>
  <c r="BB176" i="5" s="1"/>
  <c r="J177" i="5"/>
  <c r="O181" i="5"/>
  <c r="P181" i="5" s="1"/>
  <c r="Q181" i="5" s="1"/>
  <c r="R181" i="5" s="1"/>
  <c r="S181" i="5" s="1"/>
  <c r="T181" i="5" s="1"/>
  <c r="U181" i="5" s="1"/>
  <c r="V181" i="5" s="1"/>
  <c r="W181" i="5" s="1"/>
  <c r="X181" i="5" s="1"/>
  <c r="Y181" i="5" s="1"/>
  <c r="Z181" i="5" s="1"/>
  <c r="AA181" i="5" s="1"/>
  <c r="AB181" i="5" s="1"/>
  <c r="AC181" i="5" s="1"/>
  <c r="AD181" i="5" s="1"/>
  <c r="AE181" i="5" s="1"/>
  <c r="AF181" i="5" s="1"/>
  <c r="AJ181" i="5"/>
  <c r="O180" i="5"/>
  <c r="P180" i="5" s="1"/>
  <c r="Q180" i="5" s="1"/>
  <c r="R180" i="5" s="1"/>
  <c r="S180" i="5" s="1"/>
  <c r="T180" i="5" s="1"/>
  <c r="U180" i="5" s="1"/>
  <c r="V180" i="5" s="1"/>
  <c r="W180" i="5" s="1"/>
  <c r="X180" i="5" s="1"/>
  <c r="Y180" i="5" s="1"/>
  <c r="Z180" i="5" s="1"/>
  <c r="AA180" i="5" s="1"/>
  <c r="AB180" i="5" s="1"/>
  <c r="AC180" i="5" s="1"/>
  <c r="AD180" i="5" s="1"/>
  <c r="AE180" i="5" s="1"/>
  <c r="AF180" i="5" s="1"/>
  <c r="AJ180" i="5"/>
  <c r="H50" i="4"/>
  <c r="O178" i="5"/>
  <c r="P178" i="5" s="1"/>
  <c r="Q178" i="5" s="1"/>
  <c r="R178" i="5" s="1"/>
  <c r="S178" i="5" s="1"/>
  <c r="T178" i="5" s="1"/>
  <c r="U178" i="5" s="1"/>
  <c r="V178" i="5" s="1"/>
  <c r="W178" i="5" s="1"/>
  <c r="X178" i="5" s="1"/>
  <c r="Y178" i="5" s="1"/>
  <c r="Z178" i="5" s="1"/>
  <c r="AA178" i="5" s="1"/>
  <c r="AB178" i="5" s="1"/>
  <c r="AC178" i="5" s="1"/>
  <c r="AD178" i="5" s="1"/>
  <c r="AE178" i="5" s="1"/>
  <c r="AF178" i="5" s="1"/>
  <c r="G177" i="5"/>
  <c r="H177" i="5"/>
  <c r="AJ178" i="5"/>
  <c r="I177" i="5"/>
  <c r="F177" i="5"/>
  <c r="H49" i="4" l="1"/>
  <c r="K180" i="5"/>
  <c r="K181" i="5"/>
  <c r="K179" i="5"/>
  <c r="K178" i="5"/>
  <c r="G179" i="5"/>
  <c r="F179" i="5"/>
  <c r="H179" i="5"/>
  <c r="I179" i="5"/>
  <c r="D176" i="5" a="1"/>
  <c r="D176" i="5" s="1"/>
  <c r="E176" i="5" s="1" a="1"/>
  <c r="E176" i="5" s="1"/>
  <c r="F181" i="5"/>
  <c r="AJ179" i="5"/>
  <c r="AK179" i="5" s="1"/>
  <c r="AL179" i="5" s="1"/>
  <c r="AM179" i="5" s="1"/>
  <c r="AN179" i="5" s="1"/>
  <c r="AO179" i="5" s="1"/>
  <c r="AP179" i="5" s="1"/>
  <c r="AQ179" i="5" s="1"/>
  <c r="AR179" i="5" s="1"/>
  <c r="AS179" i="5" s="1"/>
  <c r="AT179" i="5" s="1"/>
  <c r="AU179" i="5" s="1"/>
  <c r="AV179" i="5" s="1"/>
  <c r="AW179" i="5" s="1"/>
  <c r="AX179" i="5" s="1"/>
  <c r="AY179" i="5" s="1"/>
  <c r="AZ179" i="5" s="1"/>
  <c r="BA179" i="5" s="1"/>
  <c r="BB179" i="5" s="1"/>
  <c r="J181" i="5"/>
  <c r="J180" i="5"/>
  <c r="G181" i="5"/>
  <c r="J178" i="5"/>
  <c r="I181" i="5"/>
  <c r="F180" i="5"/>
  <c r="H180" i="5"/>
  <c r="AK180" i="5"/>
  <c r="AL180" i="5" s="1"/>
  <c r="AM180" i="5" s="1"/>
  <c r="AN180" i="5" s="1"/>
  <c r="AO180" i="5" s="1"/>
  <c r="AP180" i="5" s="1"/>
  <c r="AQ180" i="5" s="1"/>
  <c r="AR180" i="5" s="1"/>
  <c r="AS180" i="5" s="1"/>
  <c r="AT180" i="5" s="1"/>
  <c r="AU180" i="5" s="1"/>
  <c r="AV180" i="5" s="1"/>
  <c r="AW180" i="5" s="1"/>
  <c r="AX180" i="5" s="1"/>
  <c r="AY180" i="5" s="1"/>
  <c r="AZ180" i="5" s="1"/>
  <c r="BA180" i="5" s="1"/>
  <c r="BB180" i="5" s="1"/>
  <c r="I180" i="5"/>
  <c r="AK181" i="5"/>
  <c r="AL181" i="5" s="1"/>
  <c r="AM181" i="5" s="1"/>
  <c r="AN181" i="5" s="1"/>
  <c r="AO181" i="5" s="1"/>
  <c r="AP181" i="5" s="1"/>
  <c r="AQ181" i="5" s="1"/>
  <c r="AR181" i="5" s="1"/>
  <c r="AS181" i="5" s="1"/>
  <c r="AT181" i="5" s="1"/>
  <c r="AU181" i="5" s="1"/>
  <c r="AV181" i="5" s="1"/>
  <c r="AW181" i="5" s="1"/>
  <c r="AX181" i="5" s="1"/>
  <c r="AY181" i="5" s="1"/>
  <c r="AZ181" i="5" s="1"/>
  <c r="BA181" i="5" s="1"/>
  <c r="BB181" i="5" s="1"/>
  <c r="G180" i="5"/>
  <c r="H181" i="5"/>
  <c r="F178" i="5"/>
  <c r="G178" i="5"/>
  <c r="H178" i="5"/>
  <c r="D177" i="5" a="1"/>
  <c r="D177" i="5" s="1"/>
  <c r="E177" i="5" s="1" a="1"/>
  <c r="E177" i="5" s="1"/>
  <c r="AK178" i="5"/>
  <c r="AL178" i="5" s="1"/>
  <c r="AM178" i="5" s="1"/>
  <c r="AN178" i="5" s="1"/>
  <c r="AO178" i="5" s="1"/>
  <c r="AP178" i="5" s="1"/>
  <c r="AQ178" i="5" s="1"/>
  <c r="AR178" i="5" s="1"/>
  <c r="AS178" i="5" s="1"/>
  <c r="AT178" i="5" s="1"/>
  <c r="AU178" i="5" s="1"/>
  <c r="AV178" i="5" s="1"/>
  <c r="AW178" i="5" s="1"/>
  <c r="AX178" i="5" s="1"/>
  <c r="AY178" i="5" s="1"/>
  <c r="AZ178" i="5" s="1"/>
  <c r="BA178" i="5" s="1"/>
  <c r="BB178" i="5" s="1"/>
  <c r="I178" i="5"/>
  <c r="D179" i="5" l="1" a="1"/>
  <c r="D179" i="5" s="1"/>
  <c r="E179" i="5" s="1" a="1"/>
  <c r="E179" i="5" s="1"/>
  <c r="D181" i="5" a="1"/>
  <c r="D181" i="5" s="1"/>
  <c r="E181" i="5" s="1" a="1"/>
  <c r="E181" i="5" s="1"/>
  <c r="D180" i="5" a="1"/>
  <c r="D180" i="5" s="1"/>
  <c r="E180" i="5" s="1" a="1"/>
  <c r="E180" i="5" s="1"/>
  <c r="D178" i="5" a="1"/>
  <c r="D178" i="5" s="1"/>
  <c r="E178" i="5" s="1" a="1"/>
  <c r="E178" i="5" s="1"/>
  <c r="C23" i="4"/>
  <c r="A153" i="2"/>
  <c r="A155" i="2" s="1"/>
  <c r="A157" i="2" s="1"/>
  <c r="A152" i="2"/>
  <c r="B54" i="2"/>
  <c r="I3" i="2"/>
  <c r="J3" i="2"/>
  <c r="K3" i="2"/>
  <c r="L3" i="2"/>
  <c r="M3" i="2"/>
  <c r="N3" i="2"/>
  <c r="O3" i="2"/>
  <c r="P3" i="2"/>
  <c r="Q3" i="2"/>
  <c r="R3" i="2"/>
  <c r="S3" i="2"/>
  <c r="T3" i="2"/>
  <c r="U3" i="2"/>
  <c r="V3" i="2"/>
  <c r="W3" i="2"/>
  <c r="X3" i="2"/>
  <c r="Y3" i="2"/>
  <c r="Z3" i="2"/>
  <c r="AA3" i="2"/>
  <c r="AB3" i="2"/>
  <c r="AC3" i="2"/>
  <c r="AD3" i="2"/>
  <c r="AE3" i="2"/>
  <c r="AF3" i="2"/>
  <c r="AG3" i="2"/>
  <c r="AH3" i="2"/>
  <c r="AI3" i="2"/>
  <c r="AJ3" i="2"/>
  <c r="AK3" i="2"/>
  <c r="G3" i="2"/>
  <c r="D83" i="2"/>
  <c r="E83" i="2" s="1" a="1"/>
  <c r="E83" i="2" s="1"/>
  <c r="D84" i="2"/>
  <c r="D85" i="2"/>
  <c r="D86" i="2"/>
  <c r="D78" i="2"/>
  <c r="D79" i="2"/>
  <c r="A154" i="2" l="1"/>
  <c r="D23" i="4"/>
  <c r="B55" i="2"/>
  <c r="B56" i="2" s="1"/>
  <c r="A156" i="2" l="1"/>
  <c r="E23" i="4"/>
  <c r="F23" i="4" l="1"/>
  <c r="B57" i="2"/>
  <c r="G23" i="4" l="1"/>
  <c r="B58" i="2"/>
  <c r="H23" i="4" l="1"/>
  <c r="B59" i="2"/>
  <c r="I23" i="4" l="1"/>
  <c r="B62" i="2"/>
  <c r="B63" i="2" l="1"/>
  <c r="B64" i="2" s="1"/>
  <c r="B65" i="2" s="1"/>
  <c r="B66" i="2" s="1"/>
  <c r="B67" i="2" s="1"/>
  <c r="B68" i="2" s="1"/>
  <c r="J23" i="4"/>
  <c r="D156" i="2" l="1"/>
  <c r="D152" i="2"/>
  <c r="D154" i="2"/>
  <c r="D150" i="2"/>
  <c r="K23" i="4"/>
  <c r="B153" i="2" l="1"/>
  <c r="B150" i="2"/>
  <c r="D161" i="2" s="1"/>
  <c r="B151" i="2"/>
  <c r="B152" i="2"/>
  <c r="D163" i="2" s="1"/>
  <c r="L23" i="4"/>
  <c r="B154" i="2"/>
  <c r="B156" i="2"/>
  <c r="B157" i="2"/>
  <c r="B155" i="2"/>
  <c r="M23" i="4" l="1"/>
  <c r="D165" i="2"/>
  <c r="D167" i="2"/>
  <c r="N23" i="4" l="1"/>
  <c r="O23" i="4" l="1"/>
  <c r="P23" i="4" l="1"/>
  <c r="Q23" i="4" l="1"/>
  <c r="R23" i="4" l="1"/>
  <c r="S23" i="4" l="1"/>
  <c r="T23" i="4" l="1"/>
  <c r="U23" i="4" l="1"/>
  <c r="V23" i="4" l="1"/>
  <c r="W23" i="4" l="1"/>
  <c r="X23" i="4" l="1"/>
  <c r="Y23" i="4" l="1"/>
  <c r="Z23" i="4" l="1"/>
  <c r="AA23" i="4" l="1"/>
  <c r="AB23" i="4" l="1"/>
  <c r="AC23" i="4" l="1"/>
  <c r="AD23" i="4" l="1"/>
  <c r="AE23" i="4" l="1"/>
  <c r="E85" i="2" l="1" a="1"/>
  <c r="E85" i="2" s="1"/>
  <c r="E86" i="2" a="1"/>
  <c r="E86" i="2" s="1"/>
  <c r="G1" i="2" l="1"/>
  <c r="B21" i="4"/>
  <c r="C33" i="5" l="1"/>
  <c r="E84" i="2" l="1" a="1"/>
  <c r="E84" i="2" s="1"/>
  <c r="E76" i="2" a="1"/>
  <c r="E76" i="2" s="1"/>
  <c r="E77" i="2" a="1"/>
  <c r="E77" i="2" s="1"/>
  <c r="E78" i="2" a="1"/>
  <c r="E78" i="2" s="1"/>
  <c r="E79" i="2" a="1"/>
  <c r="E79" i="2" s="1"/>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C68" i="2"/>
  <c r="A68" i="2" s="1"/>
  <c r="C67" i="2"/>
  <c r="A67" i="2" s="1"/>
  <c r="C66" i="2"/>
  <c r="A66" i="2" s="1"/>
  <c r="C65" i="2"/>
  <c r="A65" i="2" s="1"/>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C56" i="2"/>
  <c r="A56" i="2" s="1"/>
  <c r="C57" i="2"/>
  <c r="C58" i="2"/>
  <c r="A58" i="2" s="1"/>
  <c r="C59" i="2"/>
  <c r="A59" i="2" s="1"/>
  <c r="C43" i="5"/>
  <c r="C44" i="5"/>
  <c r="C42" i="5"/>
  <c r="C29" i="5"/>
  <c r="C30" i="5"/>
  <c r="C31" i="5"/>
  <c r="C38" i="5"/>
  <c r="C32" i="5"/>
  <c r="C34" i="5"/>
  <c r="C28" i="5"/>
  <c r="C64" i="2" s="1"/>
  <c r="A64" i="2" s="1"/>
  <c r="C36" i="5"/>
  <c r="C37" i="5"/>
  <c r="C35" i="5"/>
  <c r="C54" i="2" s="1"/>
  <c r="C21" i="4"/>
  <c r="H1" i="2"/>
  <c r="H60" i="2"/>
  <c r="I60" i="2"/>
  <c r="J60" i="2"/>
  <c r="K60" i="2"/>
  <c r="L60" i="2"/>
  <c r="M60" i="2"/>
  <c r="N60" i="2"/>
  <c r="O60" i="2"/>
  <c r="P60" i="2"/>
  <c r="Q60" i="2"/>
  <c r="R60" i="2"/>
  <c r="S60" i="2"/>
  <c r="T60" i="2"/>
  <c r="U60" i="2"/>
  <c r="V60" i="2"/>
  <c r="W60" i="2"/>
  <c r="X60" i="2"/>
  <c r="Y60" i="2"/>
  <c r="Z60" i="2"/>
  <c r="AA60" i="2"/>
  <c r="AB60" i="2"/>
  <c r="AC60" i="2"/>
  <c r="AC71" i="2" s="1"/>
  <c r="AD60" i="2"/>
  <c r="AE60" i="2"/>
  <c r="AF60" i="2"/>
  <c r="AG60" i="2"/>
  <c r="AH60" i="2"/>
  <c r="AI60" i="2"/>
  <c r="AJ60" i="2"/>
  <c r="AK60" i="2"/>
  <c r="AK71" i="2" s="1"/>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G60" i="2"/>
  <c r="G39" i="2"/>
  <c r="A57" i="2" l="1"/>
  <c r="A167" i="2"/>
  <c r="E167" i="2" s="1" a="1"/>
  <c r="E167" i="2" s="1"/>
  <c r="E168" i="2" s="1"/>
  <c r="C156" i="2"/>
  <c r="C157" i="2"/>
  <c r="I1" i="2"/>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D21" i="4"/>
  <c r="AH50" i="2"/>
  <c r="Z50" i="2"/>
  <c r="AG71" i="2"/>
  <c r="Y71" i="2"/>
  <c r="Q71" i="2"/>
  <c r="I71" i="2"/>
  <c r="AJ50" i="2"/>
  <c r="L50" i="2"/>
  <c r="AB50" i="2"/>
  <c r="T50" i="2"/>
  <c r="AG50" i="2"/>
  <c r="Y50" i="2"/>
  <c r="R50" i="2"/>
  <c r="J50" i="2"/>
  <c r="I50" i="2"/>
  <c r="Q50" i="2"/>
  <c r="A161" i="2"/>
  <c r="E161" i="2" s="1" a="1"/>
  <c r="E161" i="2" s="1"/>
  <c r="E162" i="2" s="1"/>
  <c r="A54" i="2"/>
  <c r="AF50" i="2"/>
  <c r="X50" i="2"/>
  <c r="P50" i="2"/>
  <c r="H50" i="2"/>
  <c r="AD71" i="2"/>
  <c r="V71" i="2"/>
  <c r="N71" i="2"/>
  <c r="T71" i="2"/>
  <c r="AB71" i="2"/>
  <c r="L71" i="2"/>
  <c r="AJ71" i="2"/>
  <c r="AK50" i="2"/>
  <c r="AC50" i="2"/>
  <c r="U50" i="2"/>
  <c r="M50" i="2"/>
  <c r="AI71" i="2"/>
  <c r="AA71" i="2"/>
  <c r="S71" i="2"/>
  <c r="K71" i="2"/>
  <c r="R71" i="2"/>
  <c r="AH71" i="2"/>
  <c r="Z71" i="2"/>
  <c r="N50" i="2"/>
  <c r="AD50" i="2"/>
  <c r="V50" i="2"/>
  <c r="C63" i="2"/>
  <c r="J71" i="2"/>
  <c r="AI50" i="2"/>
  <c r="AA50" i="2"/>
  <c r="S50" i="2"/>
  <c r="C150" i="2"/>
  <c r="C151" i="2"/>
  <c r="U71" i="2"/>
  <c r="M71" i="2"/>
  <c r="K110" i="2"/>
  <c r="S110" i="2"/>
  <c r="AA110" i="2"/>
  <c r="AI110" i="2"/>
  <c r="AB110" i="2"/>
  <c r="L110" i="2"/>
  <c r="M110" i="2"/>
  <c r="U110" i="2"/>
  <c r="AC110" i="2"/>
  <c r="AK110" i="2"/>
  <c r="N110" i="2"/>
  <c r="V110" i="2"/>
  <c r="AD110" i="2"/>
  <c r="G110" i="2"/>
  <c r="AG110" i="2"/>
  <c r="AJ110" i="2"/>
  <c r="O110" i="2"/>
  <c r="W110" i="2"/>
  <c r="AE110" i="2"/>
  <c r="Y110" i="2"/>
  <c r="H110" i="2"/>
  <c r="P110" i="2"/>
  <c r="X110" i="2"/>
  <c r="AF110" i="2"/>
  <c r="Q110" i="2"/>
  <c r="I110" i="2"/>
  <c r="J110" i="2"/>
  <c r="R110" i="2"/>
  <c r="Z110" i="2"/>
  <c r="AH110" i="2"/>
  <c r="T110" i="2"/>
  <c r="H103" i="2"/>
  <c r="P103" i="2"/>
  <c r="X103" i="2"/>
  <c r="AF103" i="2"/>
  <c r="AG103" i="2"/>
  <c r="I103" i="2"/>
  <c r="Q103" i="2"/>
  <c r="Y103" i="2"/>
  <c r="J103" i="2"/>
  <c r="R103" i="2"/>
  <c r="Z103" i="2"/>
  <c r="AH103" i="2"/>
  <c r="K103" i="2"/>
  <c r="S103" i="2"/>
  <c r="AA103" i="2"/>
  <c r="AI103" i="2"/>
  <c r="L103" i="2"/>
  <c r="T103" i="2"/>
  <c r="AB103" i="2"/>
  <c r="AJ103" i="2"/>
  <c r="AK103" i="2"/>
  <c r="M103" i="2"/>
  <c r="U103" i="2"/>
  <c r="AC103" i="2"/>
  <c r="N103" i="2"/>
  <c r="V103" i="2"/>
  <c r="AD103" i="2"/>
  <c r="G103" i="2"/>
  <c r="O103" i="2"/>
  <c r="W103" i="2"/>
  <c r="AE103" i="2"/>
  <c r="AF71" i="2"/>
  <c r="X71" i="2"/>
  <c r="P71" i="2"/>
  <c r="AE71" i="2"/>
  <c r="W71" i="2"/>
  <c r="O71" i="2"/>
  <c r="G71" i="2"/>
  <c r="H71" i="2"/>
  <c r="G50" i="2"/>
  <c r="AE50" i="2"/>
  <c r="W50" i="2"/>
  <c r="O50" i="2"/>
  <c r="K50" i="2"/>
  <c r="C55" i="2"/>
  <c r="H15" i="2"/>
  <c r="H28" i="2" s="1"/>
  <c r="I15" i="2"/>
  <c r="I28" i="2" s="1"/>
  <c r="J15" i="2"/>
  <c r="J28" i="2" s="1"/>
  <c r="K15" i="2"/>
  <c r="K28" i="2" s="1"/>
  <c r="L15" i="2"/>
  <c r="L28" i="2" s="1"/>
  <c r="M15" i="2"/>
  <c r="M28" i="2" s="1"/>
  <c r="N15" i="2"/>
  <c r="N28" i="2" s="1"/>
  <c r="O15" i="2"/>
  <c r="O28" i="2" s="1"/>
  <c r="P15" i="2"/>
  <c r="P28" i="2" s="1"/>
  <c r="Q15" i="2"/>
  <c r="Q28" i="2" s="1"/>
  <c r="R15" i="2"/>
  <c r="R28" i="2" s="1"/>
  <c r="S15" i="2"/>
  <c r="S28" i="2" s="1"/>
  <c r="T15" i="2"/>
  <c r="T28" i="2" s="1"/>
  <c r="U15" i="2"/>
  <c r="U28" i="2" s="1"/>
  <c r="V15" i="2"/>
  <c r="V28" i="2" s="1"/>
  <c r="W15" i="2"/>
  <c r="W28" i="2" s="1"/>
  <c r="X15" i="2"/>
  <c r="X28" i="2" s="1"/>
  <c r="Y15" i="2"/>
  <c r="Y28" i="2" s="1"/>
  <c r="Z15" i="2"/>
  <c r="Z28" i="2" s="1"/>
  <c r="AA15" i="2"/>
  <c r="AA28" i="2" s="1"/>
  <c r="AB15" i="2"/>
  <c r="AB28" i="2" s="1"/>
  <c r="AC15" i="2"/>
  <c r="AC28" i="2" s="1"/>
  <c r="AD15" i="2"/>
  <c r="AD28" i="2" s="1"/>
  <c r="AE15" i="2"/>
  <c r="AE28" i="2" s="1"/>
  <c r="AF15" i="2"/>
  <c r="AF28" i="2" s="1"/>
  <c r="AG15" i="2"/>
  <c r="AG28" i="2" s="1"/>
  <c r="AH15" i="2"/>
  <c r="AH28" i="2" s="1"/>
  <c r="AI15" i="2"/>
  <c r="AI28" i="2" s="1"/>
  <c r="AJ15" i="2"/>
  <c r="AJ28" i="2" s="1"/>
  <c r="AK15" i="2"/>
  <c r="AK28" i="2" s="1"/>
  <c r="G15" i="2"/>
  <c r="G28" i="2" s="1"/>
  <c r="K157" i="2" l="1" a="1"/>
  <c r="K157" i="2" s="1"/>
  <c r="P157" i="2" a="1"/>
  <c r="P157" i="2" s="1"/>
  <c r="AK157" i="2" a="1"/>
  <c r="AK157" i="2" s="1"/>
  <c r="AK168" i="2" s="1"/>
  <c r="AH157" i="2" a="1"/>
  <c r="AH157" i="2" s="1"/>
  <c r="AH168" i="2" s="1"/>
  <c r="AC157" i="2" a="1"/>
  <c r="AC157" i="2" s="1"/>
  <c r="AC168" i="2" s="1"/>
  <c r="Z157" i="2" a="1"/>
  <c r="Z157" i="2" s="1"/>
  <c r="N157" i="2" a="1"/>
  <c r="N157" i="2" s="1"/>
  <c r="U157" i="2" a="1"/>
  <c r="U157" i="2" s="1"/>
  <c r="R157" i="2" a="1"/>
  <c r="R157" i="2" s="1"/>
  <c r="M157" i="2" a="1"/>
  <c r="M157" i="2" s="1"/>
  <c r="J157" i="2" a="1"/>
  <c r="J157" i="2" s="1"/>
  <c r="W157" i="2" a="1"/>
  <c r="W157" i="2" s="1"/>
  <c r="AJ157" i="2" a="1"/>
  <c r="AJ157" i="2" s="1"/>
  <c r="AJ168" i="2" s="1"/>
  <c r="O157" i="2" a="1"/>
  <c r="O157" i="2" s="1"/>
  <c r="AB157" i="2" a="1"/>
  <c r="AB157" i="2" s="1"/>
  <c r="Y157" i="2" a="1"/>
  <c r="Y157" i="2" s="1"/>
  <c r="G157" i="2" a="1"/>
  <c r="G157" i="2" s="1"/>
  <c r="T157" i="2" a="1"/>
  <c r="T157" i="2" s="1"/>
  <c r="Q157" i="2" a="1"/>
  <c r="Q157" i="2" s="1"/>
  <c r="AA157" i="2" a="1"/>
  <c r="AA157" i="2" s="1"/>
  <c r="X157" i="2" a="1"/>
  <c r="X157" i="2" s="1"/>
  <c r="H157" i="2" a="1"/>
  <c r="H157" i="2" s="1"/>
  <c r="AD157" i="2" a="1"/>
  <c r="AD157" i="2" s="1"/>
  <c r="AD168" i="2" s="1"/>
  <c r="V157" i="2" a="1"/>
  <c r="V157" i="2" s="1"/>
  <c r="S157" i="2" a="1"/>
  <c r="S157" i="2" s="1"/>
  <c r="AE157" i="2" a="1"/>
  <c r="AE157" i="2" s="1"/>
  <c r="AE168" i="2" s="1"/>
  <c r="AI157" i="2" a="1"/>
  <c r="AI157" i="2" s="1"/>
  <c r="AI168" i="2" s="1"/>
  <c r="AF157" i="2" a="1"/>
  <c r="AF157" i="2" s="1"/>
  <c r="AF168" i="2" s="1"/>
  <c r="AG157" i="2" a="1"/>
  <c r="AG157" i="2" s="1"/>
  <c r="AG168" i="2" s="1"/>
  <c r="L157" i="2" a="1"/>
  <c r="L157" i="2" s="1"/>
  <c r="I157" i="2" a="1"/>
  <c r="I157" i="2" s="1"/>
  <c r="F157" i="2"/>
  <c r="F168" i="2" s="1"/>
  <c r="E157" i="2" a="1"/>
  <c r="E157" i="2" s="1"/>
  <c r="F156" i="2"/>
  <c r="F167" i="2" s="1"/>
  <c r="AJ156" i="2" a="1"/>
  <c r="AJ156" i="2" s="1"/>
  <c r="AJ167" i="2" s="1"/>
  <c r="AG156" i="2" a="1"/>
  <c r="AG156" i="2" s="1"/>
  <c r="AG167" i="2" s="1"/>
  <c r="O156" i="2" a="1"/>
  <c r="O156" i="2" s="1"/>
  <c r="O167" i="2" s="1"/>
  <c r="Y156" i="2" a="1"/>
  <c r="Y156" i="2" s="1"/>
  <c r="Y167" i="2" s="1"/>
  <c r="G156" i="2" a="1"/>
  <c r="G156" i="2" s="1"/>
  <c r="AK156" i="2" a="1"/>
  <c r="AK156" i="2" s="1"/>
  <c r="AK167" i="2" s="1"/>
  <c r="N156" i="2" a="1"/>
  <c r="N156" i="2" s="1"/>
  <c r="N167" i="2" s="1"/>
  <c r="M156" i="2" a="1"/>
  <c r="M156" i="2" s="1"/>
  <c r="M167" i="2" s="1"/>
  <c r="P156" i="2" a="1"/>
  <c r="P156" i="2" s="1"/>
  <c r="P167" i="2" s="1"/>
  <c r="H156" i="2" a="1"/>
  <c r="H156" i="2" s="1"/>
  <c r="H167" i="2" s="1"/>
  <c r="E156" i="2" a="1"/>
  <c r="E156" i="2" s="1"/>
  <c r="AB156" i="2" a="1"/>
  <c r="AB156" i="2" s="1"/>
  <c r="AB167" i="2" s="1"/>
  <c r="AC156" i="2" a="1"/>
  <c r="AC156" i="2" s="1"/>
  <c r="AC167" i="2" s="1"/>
  <c r="AF156" i="2" a="1"/>
  <c r="AF156" i="2" s="1"/>
  <c r="AF167" i="2" s="1"/>
  <c r="X156" i="2" a="1"/>
  <c r="X156" i="2" s="1"/>
  <c r="X167" i="2" s="1"/>
  <c r="U156" i="2" a="1"/>
  <c r="U156" i="2" s="1"/>
  <c r="U167" i="2" s="1"/>
  <c r="T156" i="2" a="1"/>
  <c r="T156" i="2" s="1"/>
  <c r="T167" i="2" s="1"/>
  <c r="Q156" i="2" a="1"/>
  <c r="Q156" i="2" s="1"/>
  <c r="Q167" i="2" s="1"/>
  <c r="AA156" i="2" a="1"/>
  <c r="AA156" i="2" s="1"/>
  <c r="AA167" i="2" s="1"/>
  <c r="S156" i="2" a="1"/>
  <c r="S156" i="2" s="1"/>
  <c r="S167" i="2" s="1"/>
  <c r="L156" i="2" a="1"/>
  <c r="L156" i="2" s="1"/>
  <c r="L167" i="2" s="1"/>
  <c r="I156" i="2" a="1"/>
  <c r="I156" i="2" s="1"/>
  <c r="I167" i="2" s="1"/>
  <c r="AD156" i="2" a="1"/>
  <c r="AD156" i="2" s="1"/>
  <c r="AD167" i="2" s="1"/>
  <c r="V156" i="2" a="1"/>
  <c r="V156" i="2" s="1"/>
  <c r="V167" i="2" s="1"/>
  <c r="AH156" i="2" a="1"/>
  <c r="AH156" i="2" s="1"/>
  <c r="AH167" i="2" s="1"/>
  <c r="AI156" i="2" a="1"/>
  <c r="AI156" i="2" s="1"/>
  <c r="AI167" i="2" s="1"/>
  <c r="K156" i="2" a="1"/>
  <c r="K156" i="2" s="1"/>
  <c r="K167" i="2" s="1"/>
  <c r="Z156" i="2" a="1"/>
  <c r="Z156" i="2" s="1"/>
  <c r="Z167" i="2" s="1"/>
  <c r="AE156" i="2" a="1"/>
  <c r="AE156" i="2" s="1"/>
  <c r="AE167" i="2" s="1"/>
  <c r="J156" i="2" a="1"/>
  <c r="J156" i="2" s="1"/>
  <c r="J167" i="2" s="1"/>
  <c r="W156" i="2" a="1"/>
  <c r="W156" i="2" s="1"/>
  <c r="W167" i="2" s="1"/>
  <c r="R156" i="2" a="1"/>
  <c r="R156" i="2" s="1"/>
  <c r="R167" i="2" s="1"/>
  <c r="V112" i="2"/>
  <c r="E21" i="4"/>
  <c r="D125" i="5" a="1"/>
  <c r="A100" i="2"/>
  <c r="A55" i="2"/>
  <c r="A106" i="2"/>
  <c r="A63" i="2"/>
  <c r="C155" i="2"/>
  <c r="E155" i="2" s="1" a="1"/>
  <c r="E155" i="2" s="1"/>
  <c r="C154" i="2"/>
  <c r="G154" i="2" s="1" a="1"/>
  <c r="G154" i="2" s="1"/>
  <c r="A165" i="2"/>
  <c r="E165" i="2" s="1" a="1"/>
  <c r="E165" i="2" s="1"/>
  <c r="E166" i="2" s="1"/>
  <c r="A108" i="2"/>
  <c r="A109" i="2"/>
  <c r="E151" i="2" a="1"/>
  <c r="E151" i="2" s="1"/>
  <c r="G151" i="2" a="1"/>
  <c r="G151" i="2" s="1"/>
  <c r="E150" i="2" a="1"/>
  <c r="E150" i="2" s="1"/>
  <c r="G150" i="2" a="1"/>
  <c r="G150" i="2" s="1"/>
  <c r="A163" i="2"/>
  <c r="E163" i="2" s="1" a="1"/>
  <c r="E163" i="2" s="1"/>
  <c r="E164" i="2" s="1"/>
  <c r="A107" i="2"/>
  <c r="AI112" i="2"/>
  <c r="Y112" i="2"/>
  <c r="N112" i="2"/>
  <c r="AE112" i="2"/>
  <c r="AA112" i="2"/>
  <c r="AC112" i="2"/>
  <c r="L112" i="2"/>
  <c r="G112" i="2"/>
  <c r="N151" i="2" a="1"/>
  <c r="N151" i="2" s="1"/>
  <c r="J151" i="2" a="1"/>
  <c r="J151" i="2" s="1"/>
  <c r="AI151" i="2" a="1"/>
  <c r="AI151" i="2" s="1"/>
  <c r="H151" i="2" a="1"/>
  <c r="H151" i="2" s="1"/>
  <c r="AA151" i="2" a="1"/>
  <c r="AA151" i="2" s="1"/>
  <c r="T151" i="2" a="1"/>
  <c r="T151" i="2" s="1"/>
  <c r="P151" i="2" a="1"/>
  <c r="P151" i="2" s="1"/>
  <c r="L151" i="2" a="1"/>
  <c r="L151" i="2" s="1"/>
  <c r="M151" i="2" a="1"/>
  <c r="M151" i="2" s="1"/>
  <c r="AK151" i="2" a="1"/>
  <c r="AK151" i="2" s="1"/>
  <c r="Y151" i="2" a="1"/>
  <c r="Y151" i="2" s="1"/>
  <c r="U151" i="2" a="1"/>
  <c r="U151" i="2" s="1"/>
  <c r="Q151" i="2" a="1"/>
  <c r="Q151" i="2" s="1"/>
  <c r="R151" i="2" a="1"/>
  <c r="R151" i="2" s="1"/>
  <c r="W151" i="2" a="1"/>
  <c r="W151" i="2" s="1"/>
  <c r="AD151" i="2" a="1"/>
  <c r="AD151" i="2" s="1"/>
  <c r="Z151" i="2" a="1"/>
  <c r="Z151" i="2" s="1"/>
  <c r="V151" i="2" a="1"/>
  <c r="V151" i="2" s="1"/>
  <c r="X151" i="2" a="1"/>
  <c r="X151" i="2" s="1"/>
  <c r="AJ151" i="2" a="1"/>
  <c r="AJ151" i="2" s="1"/>
  <c r="AF151" i="2" a="1"/>
  <c r="AF151" i="2" s="1"/>
  <c r="AB151" i="2" a="1"/>
  <c r="AB151" i="2" s="1"/>
  <c r="AC151" i="2" a="1"/>
  <c r="AC151" i="2" s="1"/>
  <c r="O151" i="2" a="1"/>
  <c r="O151" i="2" s="1"/>
  <c r="S151" i="2" a="1"/>
  <c r="S151" i="2" s="1"/>
  <c r="AG151" i="2" a="1"/>
  <c r="AG151" i="2" s="1"/>
  <c r="AH151" i="2" a="1"/>
  <c r="AH151" i="2" s="1"/>
  <c r="I151" i="2" a="1"/>
  <c r="I151" i="2" s="1"/>
  <c r="AE151" i="2" a="1"/>
  <c r="AE151" i="2" s="1"/>
  <c r="K151" i="2" a="1"/>
  <c r="K151" i="2" s="1"/>
  <c r="W150" i="2" a="1"/>
  <c r="W150" i="2" s="1"/>
  <c r="X150" i="2" a="1"/>
  <c r="X150" i="2" s="1"/>
  <c r="T150" i="2" a="1"/>
  <c r="T150" i="2" s="1"/>
  <c r="K150" i="2" a="1"/>
  <c r="K150" i="2" s="1"/>
  <c r="AB150" i="2" a="1"/>
  <c r="AB150" i="2" s="1"/>
  <c r="AD150" i="2" a="1"/>
  <c r="AD150" i="2" s="1"/>
  <c r="Z150" i="2" a="1"/>
  <c r="Z150" i="2" s="1"/>
  <c r="P150" i="2" a="1"/>
  <c r="P150" i="2" s="1"/>
  <c r="AH150" i="2" a="1"/>
  <c r="AH150" i="2" s="1"/>
  <c r="AI150" i="2" a="1"/>
  <c r="AI150" i="2" s="1"/>
  <c r="AE150" i="2" a="1"/>
  <c r="AE150" i="2" s="1"/>
  <c r="V150" i="2" a="1"/>
  <c r="V150" i="2" s="1"/>
  <c r="M150" i="2" a="1"/>
  <c r="M150" i="2" s="1"/>
  <c r="I150" i="2" a="1"/>
  <c r="I150" i="2" s="1"/>
  <c r="AJ150" i="2" a="1"/>
  <c r="AJ150" i="2" s="1"/>
  <c r="AA150" i="2" a="1"/>
  <c r="AA150" i="2" s="1"/>
  <c r="O150" i="2" a="1"/>
  <c r="O150" i="2" s="1"/>
  <c r="AC150" i="2" a="1"/>
  <c r="AC150" i="2" s="1"/>
  <c r="Y150" i="2" a="1"/>
  <c r="Y150" i="2" s="1"/>
  <c r="U150" i="2" a="1"/>
  <c r="U150" i="2" s="1"/>
  <c r="AF150" i="2" a="1"/>
  <c r="AF150" i="2" s="1"/>
  <c r="S150" i="2" a="1"/>
  <c r="S150" i="2" s="1"/>
  <c r="H150" i="2" a="1"/>
  <c r="H150" i="2" s="1"/>
  <c r="Q150" i="2" a="1"/>
  <c r="Q150" i="2" s="1"/>
  <c r="AK150" i="2" a="1"/>
  <c r="AK150" i="2" s="1"/>
  <c r="L150" i="2" a="1"/>
  <c r="L150" i="2" s="1"/>
  <c r="N150" i="2" a="1"/>
  <c r="N150" i="2" s="1"/>
  <c r="J150" i="2" a="1"/>
  <c r="J150" i="2" s="1"/>
  <c r="R150" i="2" a="1"/>
  <c r="R150" i="2" s="1"/>
  <c r="AG150" i="2" a="1"/>
  <c r="AG150" i="2" s="1"/>
  <c r="C152" i="2"/>
  <c r="C153" i="2"/>
  <c r="F151" i="2"/>
  <c r="F162" i="2" s="1"/>
  <c r="W112" i="2"/>
  <c r="S112" i="2"/>
  <c r="I112" i="2"/>
  <c r="AK112" i="2"/>
  <c r="F150" i="2"/>
  <c r="F161" i="2" s="1"/>
  <c r="R112" i="2"/>
  <c r="AH112" i="2"/>
  <c r="U112" i="2"/>
  <c r="Q112" i="2"/>
  <c r="O112" i="2"/>
  <c r="K112" i="2"/>
  <c r="AJ112" i="2"/>
  <c r="AF112" i="2"/>
  <c r="AD112" i="2"/>
  <c r="AB112" i="2"/>
  <c r="Z112" i="2"/>
  <c r="P112" i="2"/>
  <c r="J112" i="2"/>
  <c r="M112" i="2"/>
  <c r="AG112" i="2"/>
  <c r="X112" i="2"/>
  <c r="T112" i="2"/>
  <c r="H112" i="2"/>
  <c r="A99" i="2"/>
  <c r="A102" i="2"/>
  <c r="A101" i="2"/>
  <c r="B167" i="2" l="1"/>
  <c r="C167" i="2" s="1" a="1"/>
  <c r="C167" i="2" s="1"/>
  <c r="C168" i="2" s="1"/>
  <c r="X168" i="2" s="1"/>
  <c r="I168" i="2"/>
  <c r="G168" i="2"/>
  <c r="G167" i="2"/>
  <c r="J154" i="2" a="1"/>
  <c r="J154" i="2" s="1"/>
  <c r="J165" i="2" s="1"/>
  <c r="H154" i="2" a="1"/>
  <c r="H154" i="2" s="1"/>
  <c r="H165" i="2" s="1"/>
  <c r="P154" i="2" a="1"/>
  <c r="P154" i="2" s="1"/>
  <c r="P165" i="2" s="1"/>
  <c r="L154" i="2" a="1"/>
  <c r="L154" i="2" s="1"/>
  <c r="L165" i="2" s="1"/>
  <c r="N154" i="2" a="1"/>
  <c r="N154" i="2" s="1"/>
  <c r="N165" i="2" s="1"/>
  <c r="X154" i="2" a="1"/>
  <c r="X154" i="2" s="1"/>
  <c r="X165" i="2" s="1"/>
  <c r="Z154" i="2" a="1"/>
  <c r="Z154" i="2" s="1"/>
  <c r="Z165" i="2" s="1"/>
  <c r="AA154" i="2" a="1"/>
  <c r="AA154" i="2" s="1"/>
  <c r="AA165" i="2" s="1"/>
  <c r="AF154" i="2" a="1"/>
  <c r="AF154" i="2" s="1"/>
  <c r="AF165" i="2" s="1"/>
  <c r="AC154" i="2" a="1"/>
  <c r="AC154" i="2" s="1"/>
  <c r="AC165" i="2" s="1"/>
  <c r="AK154" i="2" a="1"/>
  <c r="AK154" i="2" s="1"/>
  <c r="AK165" i="2" s="1"/>
  <c r="AH154" i="2" a="1"/>
  <c r="AH154" i="2" s="1"/>
  <c r="AH165" i="2" s="1"/>
  <c r="T154" i="2" a="1"/>
  <c r="T154" i="2" s="1"/>
  <c r="T165" i="2" s="1"/>
  <c r="S154" i="2" a="1"/>
  <c r="S154" i="2" s="1"/>
  <c r="S165" i="2" s="1"/>
  <c r="AB154" i="2" a="1"/>
  <c r="AB154" i="2" s="1"/>
  <c r="AB165" i="2" s="1"/>
  <c r="W154" i="2" a="1"/>
  <c r="W154" i="2" s="1"/>
  <c r="W165" i="2" s="1"/>
  <c r="O154" i="2" a="1"/>
  <c r="O154" i="2" s="1"/>
  <c r="O165" i="2" s="1"/>
  <c r="M154" i="2" a="1"/>
  <c r="M154" i="2" s="1"/>
  <c r="M165" i="2" s="1"/>
  <c r="Y154" i="2" a="1"/>
  <c r="Y154" i="2" s="1"/>
  <c r="Y165" i="2" s="1"/>
  <c r="AJ154" i="2" a="1"/>
  <c r="AJ154" i="2" s="1"/>
  <c r="AJ165" i="2" s="1"/>
  <c r="U154" i="2" a="1"/>
  <c r="U154" i="2" s="1"/>
  <c r="U165" i="2" s="1"/>
  <c r="Q154" i="2" a="1"/>
  <c r="Q154" i="2" s="1"/>
  <c r="Q165" i="2" s="1"/>
  <c r="V154" i="2" a="1"/>
  <c r="V154" i="2" s="1"/>
  <c r="V165" i="2" s="1"/>
  <c r="I154" i="2" a="1"/>
  <c r="I154" i="2" s="1"/>
  <c r="I165" i="2" s="1"/>
  <c r="K154" i="2" a="1"/>
  <c r="K154" i="2" s="1"/>
  <c r="K165" i="2" s="1"/>
  <c r="R154" i="2" a="1"/>
  <c r="R154" i="2" s="1"/>
  <c r="R165" i="2" s="1"/>
  <c r="AE154" i="2" a="1"/>
  <c r="AE154" i="2" s="1"/>
  <c r="AE165" i="2" s="1"/>
  <c r="AI154" i="2" a="1"/>
  <c r="AI154" i="2" s="1"/>
  <c r="AI165" i="2" s="1"/>
  <c r="AG154" i="2" a="1"/>
  <c r="AG154" i="2" s="1"/>
  <c r="AG165" i="2" s="1"/>
  <c r="AD154" i="2" a="1"/>
  <c r="AD154" i="2" s="1"/>
  <c r="AD165" i="2" s="1"/>
  <c r="D125" i="5"/>
  <c r="P137" i="5"/>
  <c r="AB137" i="5"/>
  <c r="J138" i="5"/>
  <c r="V138" i="5"/>
  <c r="AH138" i="5"/>
  <c r="P139" i="5"/>
  <c r="AB139" i="5"/>
  <c r="J140" i="5"/>
  <c r="V140" i="5"/>
  <c r="AH140" i="5"/>
  <c r="P141" i="5"/>
  <c r="AB141" i="5"/>
  <c r="J142" i="5"/>
  <c r="V142" i="5"/>
  <c r="AH142" i="5"/>
  <c r="F137" i="5"/>
  <c r="L140" i="5"/>
  <c r="G137" i="5"/>
  <c r="S137" i="5"/>
  <c r="AE137" i="5"/>
  <c r="M138" i="5"/>
  <c r="Y138" i="5"/>
  <c r="G139" i="5"/>
  <c r="S139" i="5"/>
  <c r="AE139" i="5"/>
  <c r="M140" i="5"/>
  <c r="Y140" i="5"/>
  <c r="G141" i="5"/>
  <c r="S141" i="5"/>
  <c r="AE141" i="5"/>
  <c r="M142" i="5"/>
  <c r="Y142" i="5"/>
  <c r="H137" i="5"/>
  <c r="T137" i="5"/>
  <c r="AF137" i="5"/>
  <c r="N138" i="5"/>
  <c r="Z138" i="5"/>
  <c r="H139" i="5"/>
  <c r="T139" i="5"/>
  <c r="AF139" i="5"/>
  <c r="N140" i="5"/>
  <c r="Z140" i="5"/>
  <c r="H141" i="5"/>
  <c r="T141" i="5"/>
  <c r="AF141" i="5"/>
  <c r="N142" i="5"/>
  <c r="Z142" i="5"/>
  <c r="I137" i="5"/>
  <c r="U137" i="5"/>
  <c r="AG137" i="5"/>
  <c r="O138" i="5"/>
  <c r="AA138" i="5"/>
  <c r="I139" i="5"/>
  <c r="U139" i="5"/>
  <c r="AG139" i="5"/>
  <c r="O140" i="5"/>
  <c r="AA140" i="5"/>
  <c r="I141" i="5"/>
  <c r="U141" i="5"/>
  <c r="AG141" i="5"/>
  <c r="O142" i="5"/>
  <c r="AA142" i="5"/>
  <c r="O137" i="5"/>
  <c r="AG140" i="5"/>
  <c r="AC137" i="5"/>
  <c r="K140" i="5"/>
  <c r="K142" i="5"/>
  <c r="R137" i="5"/>
  <c r="R139" i="5"/>
  <c r="AD141" i="5"/>
  <c r="J137" i="5"/>
  <c r="V137" i="5"/>
  <c r="AH137" i="5"/>
  <c r="P138" i="5"/>
  <c r="AB138" i="5"/>
  <c r="J139" i="5"/>
  <c r="V139" i="5"/>
  <c r="AH139" i="5"/>
  <c r="P140" i="5"/>
  <c r="AB140" i="5"/>
  <c r="J141" i="5"/>
  <c r="V141" i="5"/>
  <c r="AH141" i="5"/>
  <c r="P142" i="5"/>
  <c r="AB142" i="5"/>
  <c r="M137" i="5"/>
  <c r="AE138" i="5"/>
  <c r="S140" i="5"/>
  <c r="G142" i="5"/>
  <c r="H138" i="5"/>
  <c r="N139" i="5"/>
  <c r="H140" i="5"/>
  <c r="N141" i="5"/>
  <c r="T142" i="5"/>
  <c r="AA137" i="5"/>
  <c r="AG138" i="5"/>
  <c r="I140" i="5"/>
  <c r="AA141" i="5"/>
  <c r="AG142" i="5"/>
  <c r="E137" i="5"/>
  <c r="W138" i="5"/>
  <c r="E139" i="5"/>
  <c r="W140" i="5"/>
  <c r="AC141" i="5"/>
  <c r="AD137" i="5"/>
  <c r="F139" i="5"/>
  <c r="R141" i="5"/>
  <c r="K137" i="5"/>
  <c r="W137" i="5"/>
  <c r="E138" i="5"/>
  <c r="Q138" i="5"/>
  <c r="AC138" i="5"/>
  <c r="K139" i="5"/>
  <c r="W139" i="5"/>
  <c r="E140" i="5"/>
  <c r="Q140" i="5"/>
  <c r="AC140" i="5"/>
  <c r="K141" i="5"/>
  <c r="W141" i="5"/>
  <c r="E142" i="5"/>
  <c r="Q142" i="5"/>
  <c r="AC142" i="5"/>
  <c r="G138" i="5"/>
  <c r="S138" i="5"/>
  <c r="Y139" i="5"/>
  <c r="AE140" i="5"/>
  <c r="Y141" i="5"/>
  <c r="AE142" i="5"/>
  <c r="N137" i="5"/>
  <c r="AF138" i="5"/>
  <c r="T140" i="5"/>
  <c r="Z141" i="5"/>
  <c r="AF142" i="5"/>
  <c r="U138" i="5"/>
  <c r="AA139" i="5"/>
  <c r="O141" i="5"/>
  <c r="U142" i="5"/>
  <c r="K138" i="5"/>
  <c r="AC139" i="5"/>
  <c r="Q141" i="5"/>
  <c r="W142" i="5"/>
  <c r="L138" i="5"/>
  <c r="X140" i="5"/>
  <c r="L142" i="5"/>
  <c r="L137" i="5"/>
  <c r="X137" i="5"/>
  <c r="F138" i="5"/>
  <c r="R138" i="5"/>
  <c r="AD138" i="5"/>
  <c r="L139" i="5"/>
  <c r="X139" i="5"/>
  <c r="F140" i="5"/>
  <c r="R140" i="5"/>
  <c r="AD140" i="5"/>
  <c r="L141" i="5"/>
  <c r="X141" i="5"/>
  <c r="F142" i="5"/>
  <c r="R142" i="5"/>
  <c r="AD142" i="5"/>
  <c r="Y137" i="5"/>
  <c r="M139" i="5"/>
  <c r="G140" i="5"/>
  <c r="M141" i="5"/>
  <c r="S142" i="5"/>
  <c r="Z137" i="5"/>
  <c r="T138" i="5"/>
  <c r="Z139" i="5"/>
  <c r="AF140" i="5"/>
  <c r="H142" i="5"/>
  <c r="I138" i="5"/>
  <c r="O139" i="5"/>
  <c r="U140" i="5"/>
  <c r="I142" i="5"/>
  <c r="Q137" i="5"/>
  <c r="Q139" i="5"/>
  <c r="E141" i="5"/>
  <c r="X138" i="5"/>
  <c r="AD139" i="5"/>
  <c r="F141" i="5"/>
  <c r="X142" i="5"/>
  <c r="F147" i="2"/>
  <c r="G146" i="2" s="1"/>
  <c r="E170" i="2" a="1"/>
  <c r="E170" i="2" s="1"/>
  <c r="G170" i="2" s="1"/>
  <c r="C65" i="4" a="1"/>
  <c r="C65" i="4" s="1"/>
  <c r="C67" i="4"/>
  <c r="F21" i="4"/>
  <c r="B161" i="2"/>
  <c r="C161" i="2" s="1" a="1"/>
  <c r="C161" i="2" s="1"/>
  <c r="E154" i="2" a="1"/>
  <c r="E154" i="2" s="1"/>
  <c r="F155" i="2"/>
  <c r="F166" i="2" s="1"/>
  <c r="F154" i="2"/>
  <c r="F165" i="2" s="1"/>
  <c r="G155" i="2" a="1"/>
  <c r="G155" i="2" s="1"/>
  <c r="S155" i="2" a="1"/>
  <c r="S155" i="2" s="1"/>
  <c r="Q155" i="2" a="1"/>
  <c r="Q155" i="2" s="1"/>
  <c r="O155" i="2" a="1"/>
  <c r="O155" i="2" s="1"/>
  <c r="AK155" i="2" a="1"/>
  <c r="AK155" i="2" s="1"/>
  <c r="K155" i="2" a="1"/>
  <c r="K155" i="2" s="1"/>
  <c r="I155" i="2" a="1"/>
  <c r="I155" i="2" s="1"/>
  <c r="AC155" i="2" a="1"/>
  <c r="AC155" i="2" s="1"/>
  <c r="AH155" i="2" a="1"/>
  <c r="AH155" i="2" s="1"/>
  <c r="AF155" i="2" a="1"/>
  <c r="AF155" i="2" s="1"/>
  <c r="T155" i="2" a="1"/>
  <c r="T155" i="2" s="1"/>
  <c r="U155" i="2" a="1"/>
  <c r="U155" i="2" s="1"/>
  <c r="L155" i="2" a="1"/>
  <c r="L155" i="2" s="1"/>
  <c r="Z155" i="2" a="1"/>
  <c r="Z155" i="2" s="1"/>
  <c r="X155" i="2" a="1"/>
  <c r="X155" i="2" s="1"/>
  <c r="AD155" i="2" a="1"/>
  <c r="AD155" i="2" s="1"/>
  <c r="M155" i="2" a="1"/>
  <c r="M155" i="2" s="1"/>
  <c r="R155" i="2" a="1"/>
  <c r="R155" i="2" s="1"/>
  <c r="J155" i="2" a="1"/>
  <c r="J155" i="2" s="1"/>
  <c r="H155" i="2" a="1"/>
  <c r="H155" i="2" s="1"/>
  <c r="N155" i="2" a="1"/>
  <c r="N155" i="2" s="1"/>
  <c r="P155" i="2" a="1"/>
  <c r="P155" i="2" s="1"/>
  <c r="AI155" i="2" a="1"/>
  <c r="AI155" i="2" s="1"/>
  <c r="AG155" i="2" a="1"/>
  <c r="AG155" i="2" s="1"/>
  <c r="AE155" i="2" a="1"/>
  <c r="AE155" i="2" s="1"/>
  <c r="AJ155" i="2" a="1"/>
  <c r="AJ155" i="2" s="1"/>
  <c r="V155" i="2" a="1"/>
  <c r="V155" i="2" s="1"/>
  <c r="AA155" i="2" a="1"/>
  <c r="AA155" i="2" s="1"/>
  <c r="Y155" i="2" a="1"/>
  <c r="Y155" i="2" s="1"/>
  <c r="W155" i="2" a="1"/>
  <c r="W155" i="2" s="1"/>
  <c r="AB155" i="2" a="1"/>
  <c r="AB155" i="2" s="1"/>
  <c r="E153" i="2" a="1"/>
  <c r="E153" i="2" s="1"/>
  <c r="G153" i="2" a="1"/>
  <c r="G153" i="2" s="1"/>
  <c r="E152" i="2" a="1"/>
  <c r="E152" i="2" s="1"/>
  <c r="G152" i="2" a="1"/>
  <c r="G152" i="2" s="1"/>
  <c r="F153" i="2"/>
  <c r="F164" i="2" s="1"/>
  <c r="AG153" i="2" a="1"/>
  <c r="AG153" i="2" s="1"/>
  <c r="AE153" i="2" a="1"/>
  <c r="AE153" i="2" s="1"/>
  <c r="AK153" i="2" a="1"/>
  <c r="AK153" i="2" s="1"/>
  <c r="L153" i="2" a="1"/>
  <c r="L153" i="2" s="1"/>
  <c r="Y153" i="2" a="1"/>
  <c r="Y153" i="2" s="1"/>
  <c r="W153" i="2" a="1"/>
  <c r="W153" i="2" s="1"/>
  <c r="AC153" i="2" a="1"/>
  <c r="AC153" i="2" s="1"/>
  <c r="AH153" i="2" a="1"/>
  <c r="AH153" i="2" s="1"/>
  <c r="Q153" i="2" a="1"/>
  <c r="Q153" i="2" s="1"/>
  <c r="O153" i="2" a="1"/>
  <c r="O153" i="2" s="1"/>
  <c r="U153" i="2" a="1"/>
  <c r="U153" i="2" s="1"/>
  <c r="AI153" i="2" a="1"/>
  <c r="AI153" i="2" s="1"/>
  <c r="I153" i="2" a="1"/>
  <c r="I153" i="2" s="1"/>
  <c r="M153" i="2" a="1"/>
  <c r="M153" i="2" s="1"/>
  <c r="AA153" i="2" a="1"/>
  <c r="AA153" i="2" s="1"/>
  <c r="T153" i="2" a="1"/>
  <c r="T153" i="2" s="1"/>
  <c r="AF153" i="2" a="1"/>
  <c r="AF153" i="2" s="1"/>
  <c r="AD153" i="2" a="1"/>
  <c r="AD153" i="2" s="1"/>
  <c r="R153" i="2" a="1"/>
  <c r="R153" i="2" s="1"/>
  <c r="S153" i="2" a="1"/>
  <c r="S153" i="2" s="1"/>
  <c r="J153" i="2" a="1"/>
  <c r="J153" i="2" s="1"/>
  <c r="X153" i="2" a="1"/>
  <c r="X153" i="2" s="1"/>
  <c r="V153" i="2" a="1"/>
  <c r="V153" i="2" s="1"/>
  <c r="AJ153" i="2" a="1"/>
  <c r="AJ153" i="2" s="1"/>
  <c r="K153" i="2" a="1"/>
  <c r="K153" i="2" s="1"/>
  <c r="P153" i="2" a="1"/>
  <c r="P153" i="2" s="1"/>
  <c r="N153" i="2" a="1"/>
  <c r="N153" i="2" s="1"/>
  <c r="AB153" i="2" a="1"/>
  <c r="AB153" i="2" s="1"/>
  <c r="Z153" i="2" a="1"/>
  <c r="Z153" i="2" s="1"/>
  <c r="H153" i="2" a="1"/>
  <c r="H153" i="2" s="1"/>
  <c r="X152" i="2" a="1"/>
  <c r="X152" i="2" s="1"/>
  <c r="V152" i="2" a="1"/>
  <c r="V152" i="2" s="1"/>
  <c r="T152" i="2" a="1"/>
  <c r="T152" i="2" s="1"/>
  <c r="AH152" i="2" a="1"/>
  <c r="AH152" i="2" s="1"/>
  <c r="P152" i="2" a="1"/>
  <c r="P152" i="2" s="1"/>
  <c r="N152" i="2" a="1"/>
  <c r="N152" i="2" s="1"/>
  <c r="L152" i="2" a="1"/>
  <c r="L152" i="2" s="1"/>
  <c r="Z152" i="2" a="1"/>
  <c r="Z152" i="2" s="1"/>
  <c r="H152" i="2" a="1"/>
  <c r="H152" i="2" s="1"/>
  <c r="AK152" i="2" a="1"/>
  <c r="AK152" i="2" s="1"/>
  <c r="Y152" i="2" a="1"/>
  <c r="Y152" i="2" s="1"/>
  <c r="R152" i="2" a="1"/>
  <c r="R152" i="2" s="1"/>
  <c r="AA152" i="2" a="1"/>
  <c r="AA152" i="2" s="1"/>
  <c r="AG152" i="2" a="1"/>
  <c r="AG152" i="2" s="1"/>
  <c r="AB152" i="2" a="1"/>
  <c r="AB152" i="2" s="1"/>
  <c r="AE152" i="2" a="1"/>
  <c r="AE152" i="2" s="1"/>
  <c r="AC152" i="2" a="1"/>
  <c r="AC152" i="2" s="1"/>
  <c r="AI152" i="2" a="1"/>
  <c r="AI152" i="2" s="1"/>
  <c r="J152" i="2" a="1"/>
  <c r="J152" i="2" s="1"/>
  <c r="U152" i="2" a="1"/>
  <c r="U152" i="2" s="1"/>
  <c r="AD152" i="2" a="1"/>
  <c r="AD152" i="2" s="1"/>
  <c r="W152" i="2" a="1"/>
  <c r="W152" i="2" s="1"/>
  <c r="M152" i="2" a="1"/>
  <c r="M152" i="2" s="1"/>
  <c r="S152" i="2" a="1"/>
  <c r="S152" i="2" s="1"/>
  <c r="I152" i="2" a="1"/>
  <c r="I152" i="2" s="1"/>
  <c r="O152" i="2" a="1"/>
  <c r="O152" i="2" s="1"/>
  <c r="AJ152" i="2" a="1"/>
  <c r="AJ152" i="2" s="1"/>
  <c r="K152" i="2" a="1"/>
  <c r="K152" i="2" s="1"/>
  <c r="AF152" i="2" a="1"/>
  <c r="AF152" i="2" s="1"/>
  <c r="Q152" i="2" a="1"/>
  <c r="Q152" i="2" s="1"/>
  <c r="F152" i="2"/>
  <c r="F163" i="2" s="1"/>
  <c r="K168" i="2" l="1"/>
  <c r="T168" i="2"/>
  <c r="H168" i="2"/>
  <c r="Q168" i="2"/>
  <c r="U168" i="2"/>
  <c r="R168" i="2"/>
  <c r="L168" i="2"/>
  <c r="W168" i="2"/>
  <c r="N168" i="2"/>
  <c r="V168" i="2"/>
  <c r="J168" i="2"/>
  <c r="AB168" i="2"/>
  <c r="M168" i="2"/>
  <c r="Y168" i="2"/>
  <c r="S168" i="2"/>
  <c r="Z168" i="2"/>
  <c r="P168" i="2"/>
  <c r="AA168" i="2"/>
  <c r="O168" i="2"/>
  <c r="D141" i="5"/>
  <c r="D140" i="5"/>
  <c r="D139" i="5"/>
  <c r="D138" i="5"/>
  <c r="D137" i="5"/>
  <c r="D142" i="5"/>
  <c r="C66" i="4"/>
  <c r="G21" i="4"/>
  <c r="C162" i="2"/>
  <c r="O161" i="2"/>
  <c r="V161" i="2"/>
  <c r="AI161" i="2"/>
  <c r="AA161" i="2"/>
  <c r="AH161" i="2"/>
  <c r="K161" i="2"/>
  <c r="X161" i="2"/>
  <c r="AB161" i="2"/>
  <c r="AG161" i="2"/>
  <c r="I161" i="2"/>
  <c r="AJ161" i="2"/>
  <c r="N161" i="2"/>
  <c r="AF161" i="2"/>
  <c r="T161" i="2"/>
  <c r="S161" i="2"/>
  <c r="Z161" i="2"/>
  <c r="Y161" i="2"/>
  <c r="Q161" i="2"/>
  <c r="R161" i="2"/>
  <c r="AD161" i="2"/>
  <c r="AE161" i="2"/>
  <c r="P161" i="2"/>
  <c r="M161" i="2"/>
  <c r="G161" i="2"/>
  <c r="J161" i="2"/>
  <c r="L161" i="2"/>
  <c r="AK161" i="2"/>
  <c r="W161" i="2"/>
  <c r="H161" i="2"/>
  <c r="U161" i="2"/>
  <c r="AC161" i="2"/>
  <c r="B163" i="2"/>
  <c r="C163" i="2" s="1" a="1"/>
  <c r="C163" i="2" s="1"/>
  <c r="B165" i="2"/>
  <c r="C165" i="2" s="1" a="1"/>
  <c r="C165" i="2" s="1"/>
  <c r="C166" i="2" l="1"/>
  <c r="G165" i="2"/>
  <c r="H21" i="4"/>
  <c r="AK162" i="2"/>
  <c r="N162" i="2"/>
  <c r="V162" i="2"/>
  <c r="AD162" i="2"/>
  <c r="T162" i="2"/>
  <c r="AJ162" i="2"/>
  <c r="AC162" i="2"/>
  <c r="G162" i="2"/>
  <c r="O162" i="2"/>
  <c r="W162" i="2"/>
  <c r="AE162" i="2"/>
  <c r="M162" i="2"/>
  <c r="H162" i="2"/>
  <c r="P162" i="2"/>
  <c r="X162" i="2"/>
  <c r="AF162" i="2"/>
  <c r="I162" i="2"/>
  <c r="Q162" i="2"/>
  <c r="Y162" i="2"/>
  <c r="AG162" i="2"/>
  <c r="S162" i="2"/>
  <c r="AI162" i="2"/>
  <c r="L162" i="2"/>
  <c r="U162" i="2"/>
  <c r="J162" i="2"/>
  <c r="R162" i="2"/>
  <c r="Z162" i="2"/>
  <c r="AH162" i="2"/>
  <c r="K162" i="2"/>
  <c r="AA162" i="2"/>
  <c r="AB162" i="2"/>
  <c r="J166" i="2"/>
  <c r="AJ166" i="2"/>
  <c r="AD166" i="2"/>
  <c r="AA166" i="2"/>
  <c r="L166" i="2"/>
  <c r="AG166" i="2"/>
  <c r="T166" i="2"/>
  <c r="R166" i="2"/>
  <c r="AB166" i="2"/>
  <c r="H166" i="2"/>
  <c r="AH166" i="2"/>
  <c r="Z166" i="2"/>
  <c r="V166" i="2"/>
  <c r="AE166" i="2"/>
  <c r="AI166" i="2"/>
  <c r="G166" i="2"/>
  <c r="AK166" i="2"/>
  <c r="Q166" i="2"/>
  <c r="AF166" i="2"/>
  <c r="X166" i="2"/>
  <c r="AC166" i="2"/>
  <c r="Y166" i="2"/>
  <c r="S166" i="2"/>
  <c r="I166" i="2"/>
  <c r="K166" i="2"/>
  <c r="N166" i="2"/>
  <c r="M166" i="2"/>
  <c r="W166" i="2"/>
  <c r="U166" i="2"/>
  <c r="P166" i="2"/>
  <c r="O166" i="2"/>
  <c r="C164" i="2"/>
  <c r="P163" i="2"/>
  <c r="N163" i="2"/>
  <c r="T163" i="2"/>
  <c r="L163" i="2"/>
  <c r="K163" i="2"/>
  <c r="W163" i="2"/>
  <c r="AB163" i="2"/>
  <c r="AA163" i="2"/>
  <c r="AI163" i="2"/>
  <c r="R163" i="2"/>
  <c r="G163" i="2"/>
  <c r="I163" i="2"/>
  <c r="AK163" i="2"/>
  <c r="AF163" i="2"/>
  <c r="O163" i="2"/>
  <c r="AC163" i="2"/>
  <c r="AH163" i="2"/>
  <c r="H163" i="2"/>
  <c r="AD163" i="2"/>
  <c r="AG163" i="2"/>
  <c r="AE163" i="2"/>
  <c r="M163" i="2"/>
  <c r="AJ163" i="2"/>
  <c r="V163" i="2"/>
  <c r="Z163" i="2"/>
  <c r="S163" i="2"/>
  <c r="Q163" i="2"/>
  <c r="J163" i="2"/>
  <c r="X163" i="2"/>
  <c r="U163" i="2"/>
  <c r="Y163" i="2"/>
  <c r="I21" i="4" l="1"/>
  <c r="L164" i="2"/>
  <c r="P164" i="2"/>
  <c r="W164" i="2"/>
  <c r="G164" i="2"/>
  <c r="M164" i="2"/>
  <c r="AD164" i="2"/>
  <c r="Z164" i="2"/>
  <c r="AE164" i="2"/>
  <c r="AG164" i="2"/>
  <c r="I164" i="2"/>
  <c r="O164" i="2"/>
  <c r="AJ164" i="2"/>
  <c r="AI164" i="2"/>
  <c r="N164" i="2"/>
  <c r="X164" i="2"/>
  <c r="T164" i="2"/>
  <c r="Y164" i="2"/>
  <c r="R164" i="2"/>
  <c r="K164" i="2"/>
  <c r="AH164" i="2"/>
  <c r="AK164" i="2"/>
  <c r="J164" i="2"/>
  <c r="AB164" i="2"/>
  <c r="U164" i="2"/>
  <c r="AF164" i="2"/>
  <c r="H164" i="2"/>
  <c r="S164" i="2"/>
  <c r="Q164" i="2"/>
  <c r="V164" i="2"/>
  <c r="AA164" i="2"/>
  <c r="AC164" i="2"/>
  <c r="J21" i="4" l="1"/>
  <c r="K21" i="4" l="1"/>
  <c r="L21" i="4" l="1"/>
  <c r="M21" i="4" l="1"/>
  <c r="N21" i="4" l="1"/>
  <c r="O21" i="4" l="1"/>
  <c r="P21" i="4" l="1"/>
  <c r="Q21" i="4" l="1"/>
  <c r="R21" i="4" l="1"/>
  <c r="S21" i="4" l="1"/>
  <c r="T21" i="4" l="1"/>
  <c r="U21" i="4" l="1"/>
  <c r="V21" i="4" l="1"/>
  <c r="W21" i="4" l="1"/>
  <c r="X21" i="4" l="1"/>
  <c r="Y21" i="4" l="1"/>
  <c r="Z21" i="4" l="1"/>
  <c r="AA21" i="4" l="1"/>
  <c r="AB21" i="4" l="1"/>
  <c r="AC21" i="4" l="1"/>
  <c r="AD21" i="4" l="1"/>
  <c r="C116" i="5" s="1"/>
  <c r="C96" i="5" l="1"/>
  <c r="C95" i="5"/>
  <c r="C13" i="4"/>
  <c r="G57" i="4"/>
  <c r="AE21" i="4"/>
  <c r="F3" i="7" l="1"/>
  <c r="D3" i="7"/>
  <c r="F4" i="7"/>
  <c r="E4" i="7"/>
  <c r="E3" i="7"/>
  <c r="D4" i="7"/>
  <c r="C4" i="7"/>
  <c r="C3" i="7"/>
  <c r="B65" i="4" a="1"/>
  <c r="B65" i="4" s="1"/>
  <c r="D136" i="5" a="1"/>
  <c r="D136" i="5" s="1"/>
  <c r="C69" i="4" s="1" a="1"/>
  <c r="C69" i="4" s="1"/>
  <c r="B69" i="4" l="1"/>
  <c r="B67" i="4"/>
  <c r="B66" i="4" s="1"/>
  <c r="E67" i="4" a="1"/>
  <c r="E67" i="4" s="1"/>
  <c r="I67" i="4" a="1"/>
  <c r="I67" i="4" s="1"/>
  <c r="J67" i="4" a="1"/>
  <c r="J67" i="4" s="1"/>
  <c r="J65" i="4" a="1"/>
  <c r="J65" i="4" s="1"/>
  <c r="H65" i="4" a="1"/>
  <c r="H65" i="4" s="1"/>
  <c r="F65" i="4" a="1"/>
  <c r="F65" i="4" s="1"/>
  <c r="G65" i="4" a="1"/>
  <c r="G65" i="4" s="1"/>
  <c r="I65" i="4" a="1"/>
  <c r="I65" i="4" s="1"/>
  <c r="H67" i="4" a="1"/>
  <c r="H67" i="4" s="1"/>
  <c r="G67" i="4" a="1"/>
  <c r="G67" i="4" s="1"/>
  <c r="E65" i="4" a="1"/>
  <c r="E65" i="4" s="1"/>
  <c r="F67" i="4" a="1"/>
  <c r="F67" i="4" s="1"/>
  <c r="G130" i="2" a="1"/>
  <c r="G130" i="2" s="1"/>
  <c r="I130" i="2" a="1"/>
  <c r="I130" i="2" s="1"/>
  <c r="J130" i="2" a="1"/>
  <c r="J130" i="2" s="1"/>
  <c r="K130" i="2" a="1"/>
  <c r="K130" i="2" s="1"/>
  <c r="H130" i="2" a="1"/>
  <c r="H130" i="2" s="1"/>
  <c r="J66" i="4" l="1"/>
  <c r="I66" i="4"/>
  <c r="E66" i="4"/>
  <c r="G66" i="4"/>
  <c r="F66" i="4"/>
  <c r="H66" i="4"/>
  <c r="C130" i="2"/>
  <c r="C73" i="4" s="1"/>
  <c r="C7" i="7" l="1"/>
  <c r="C22" i="7" s="1"/>
  <c r="D7" i="7"/>
  <c r="D22" i="7" s="1"/>
  <c r="F7" i="7"/>
  <c r="E7" i="7"/>
  <c r="B73" i="4"/>
  <c r="G58" i="4"/>
  <c r="C76" i="4" s="1"/>
  <c r="C78" i="4"/>
  <c r="B78" i="4"/>
  <c r="B24" i="4" a="1"/>
  <c r="B24" i="4" s="1"/>
  <c r="B76" i="4" l="1"/>
  <c r="D78" i="4"/>
  <c r="C120" i="5"/>
  <c r="D120" i="5" s="1"/>
  <c r="C160" i="5" l="1"/>
  <c r="D134" i="5" l="1" a="1"/>
  <c r="D134" i="5" s="1"/>
  <c r="D132" i="5" a="1"/>
  <c r="D132" i="5" s="1"/>
  <c r="D9" i="7" s="1"/>
  <c r="D131" i="5" a="1"/>
  <c r="D133" i="5" a="1"/>
  <c r="D133" i="5" s="1"/>
  <c r="C72" i="4" l="1" a="1"/>
  <c r="C72" i="4" s="1"/>
  <c r="B72" i="4"/>
  <c r="C122" i="5" s="1"/>
  <c r="D122" i="5" s="1"/>
  <c r="C9" i="7"/>
  <c r="K135" i="5"/>
  <c r="W135" i="5"/>
  <c r="M135" i="5"/>
  <c r="N135" i="5"/>
  <c r="L135" i="5"/>
  <c r="X135" i="5"/>
  <c r="AA135" i="5"/>
  <c r="P135" i="5"/>
  <c r="AB135" i="5"/>
  <c r="E135" i="5"/>
  <c r="AC135" i="5"/>
  <c r="Q135" i="5"/>
  <c r="F135" i="5"/>
  <c r="R135" i="5"/>
  <c r="AD135" i="5"/>
  <c r="AH135" i="5"/>
  <c r="G135" i="5"/>
  <c r="S135" i="5"/>
  <c r="AE135" i="5"/>
  <c r="H135" i="5"/>
  <c r="T135" i="5"/>
  <c r="AF135" i="5"/>
  <c r="V135" i="5"/>
  <c r="O135" i="5"/>
  <c r="I135" i="5"/>
  <c r="U135" i="5"/>
  <c r="AG135" i="5"/>
  <c r="J135" i="5"/>
  <c r="Y135" i="5"/>
  <c r="Z135" i="5"/>
  <c r="D131" i="5"/>
  <c r="D135" i="5" l="1"/>
  <c r="F9" i="7"/>
  <c r="C123" i="5"/>
  <c r="D123" i="5" s="1"/>
  <c r="E9" i="7"/>
  <c r="T83" i="2"/>
  <c r="T84" i="2"/>
  <c r="H80" i="2"/>
  <c r="H92" i="2" s="1"/>
  <c r="H83" i="2"/>
  <c r="H84" i="2"/>
  <c r="AH83" i="2"/>
  <c r="AH84" i="2"/>
  <c r="G77" i="2"/>
  <c r="G83" i="2"/>
  <c r="G84" i="2"/>
  <c r="Q83" i="2"/>
  <c r="Q84" i="2"/>
  <c r="R83" i="2"/>
  <c r="R84" i="2"/>
  <c r="Y83" i="2"/>
  <c r="Y84" i="2"/>
  <c r="AF83" i="2"/>
  <c r="AF84" i="2"/>
  <c r="AI83" i="2"/>
  <c r="AI84" i="2"/>
  <c r="AE83" i="2"/>
  <c r="AE84" i="2"/>
  <c r="K83" i="2"/>
  <c r="K84" i="2"/>
  <c r="AC83" i="2"/>
  <c r="AC84" i="2"/>
  <c r="J83" i="2"/>
  <c r="J84" i="2"/>
  <c r="M83" i="2"/>
  <c r="M84" i="2"/>
  <c r="P83" i="2"/>
  <c r="P84" i="2"/>
  <c r="W83" i="2"/>
  <c r="W84" i="2"/>
  <c r="S83" i="2"/>
  <c r="S84" i="2"/>
  <c r="V83" i="2"/>
  <c r="V84" i="2"/>
  <c r="AA83" i="2"/>
  <c r="AA84" i="2"/>
  <c r="O83" i="2"/>
  <c r="O84" i="2"/>
  <c r="AK83" i="2"/>
  <c r="AK84" i="2"/>
  <c r="AJ83" i="2"/>
  <c r="AJ84" i="2"/>
  <c r="AG83" i="2"/>
  <c r="AG84" i="2"/>
  <c r="X83" i="2"/>
  <c r="X84" i="2"/>
  <c r="U83" i="2"/>
  <c r="U84" i="2"/>
  <c r="Z83" i="2"/>
  <c r="Z84" i="2"/>
  <c r="AD83" i="2"/>
  <c r="AD84" i="2"/>
  <c r="AB83" i="2"/>
  <c r="AB84" i="2"/>
  <c r="L83" i="2"/>
  <c r="L84" i="2"/>
  <c r="I83" i="2"/>
  <c r="I84" i="2"/>
  <c r="N83" i="2"/>
  <c r="N84" i="2"/>
  <c r="W80" i="2"/>
  <c r="K80" i="2"/>
  <c r="R80" i="2"/>
  <c r="T80" i="2"/>
  <c r="Y80" i="2"/>
  <c r="AF80" i="2"/>
  <c r="AI80" i="2"/>
  <c r="O80" i="2"/>
  <c r="AD80" i="2"/>
  <c r="Q80" i="2"/>
  <c r="AC80" i="2"/>
  <c r="AA80" i="2"/>
  <c r="J80" i="2"/>
  <c r="AJ80" i="2"/>
  <c r="P80" i="2"/>
  <c r="AE80" i="2"/>
  <c r="S80" i="2"/>
  <c r="AH80" i="2"/>
  <c r="V80" i="2"/>
  <c r="AB80" i="2"/>
  <c r="M80" i="2"/>
  <c r="AK80" i="2"/>
  <c r="AG80" i="2"/>
  <c r="X80" i="2"/>
  <c r="U80" i="2"/>
  <c r="Z80" i="2"/>
  <c r="L80" i="2"/>
  <c r="N80" i="2"/>
  <c r="AC87" i="2" l="1"/>
  <c r="AC93" i="2" s="1"/>
  <c r="V87" i="2"/>
  <c r="V93" i="2" s="1"/>
  <c r="R87" i="2"/>
  <c r="R93" i="2" s="1"/>
  <c r="AA87" i="2"/>
  <c r="AA93" i="2" s="1"/>
  <c r="X87" i="2"/>
  <c r="X93" i="2" s="1"/>
  <c r="N87" i="2"/>
  <c r="N93" i="2" s="1"/>
  <c r="I87" i="2"/>
  <c r="I93" i="2" s="1"/>
  <c r="T87" i="2"/>
  <c r="T93" i="2" s="1"/>
  <c r="I80" i="2"/>
  <c r="I92" i="2" s="1"/>
  <c r="Z87" i="2"/>
  <c r="Z93" i="2" s="1"/>
  <c r="AI87" i="2"/>
  <c r="AI93" i="2" s="1"/>
  <c r="U87" i="2"/>
  <c r="U93" i="2" s="1"/>
  <c r="K87" i="2"/>
  <c r="K93" i="2" s="1"/>
  <c r="AH87" i="2"/>
  <c r="AH93" i="2" s="1"/>
  <c r="H87" i="2"/>
  <c r="H93" i="2" s="1"/>
  <c r="H94" i="2" s="1"/>
  <c r="H117" i="2" s="1"/>
  <c r="Q87" i="2"/>
  <c r="Q93" i="2" s="1"/>
  <c r="AB87" i="2"/>
  <c r="AB93" i="2" s="1"/>
  <c r="AD87" i="2"/>
  <c r="AD93" i="2" s="1"/>
  <c r="P87" i="2"/>
  <c r="P93" i="2" s="1"/>
  <c r="O87" i="2"/>
  <c r="O93" i="2" s="1"/>
  <c r="J87" i="2"/>
  <c r="J93" i="2" s="1"/>
  <c r="L87" i="2"/>
  <c r="L93" i="2" s="1"/>
  <c r="W87" i="2"/>
  <c r="W93" i="2" s="1"/>
  <c r="AE87" i="2"/>
  <c r="AE93" i="2" s="1"/>
  <c r="AK87" i="2"/>
  <c r="AK93" i="2" s="1"/>
  <c r="S87" i="2"/>
  <c r="S93" i="2" s="1"/>
  <c r="AJ87" i="2"/>
  <c r="AJ93" i="2" s="1"/>
  <c r="AF87" i="2"/>
  <c r="AF93" i="2" s="1"/>
  <c r="AG87" i="2"/>
  <c r="AG93" i="2" s="1"/>
  <c r="Y87" i="2"/>
  <c r="Y93" i="2" s="1"/>
  <c r="M87" i="2"/>
  <c r="M93" i="2" s="1"/>
  <c r="M92" i="2"/>
  <c r="AI92" i="2"/>
  <c r="AH92" i="2"/>
  <c r="AE92" i="2"/>
  <c r="AC92" i="2"/>
  <c r="AC89" i="2"/>
  <c r="AK92" i="2"/>
  <c r="AF92" i="2"/>
  <c r="U92" i="2"/>
  <c r="O92" i="2"/>
  <c r="Y92" i="2"/>
  <c r="AD92" i="2"/>
  <c r="J92" i="2"/>
  <c r="AJ92" i="2"/>
  <c r="AG92" i="2"/>
  <c r="AB92" i="2"/>
  <c r="T92" i="2"/>
  <c r="V92" i="2"/>
  <c r="P92" i="2"/>
  <c r="W92" i="2"/>
  <c r="S92" i="2"/>
  <c r="X92" i="2"/>
  <c r="R92" i="2"/>
  <c r="R94" i="2" s="1"/>
  <c r="R117" i="2" s="1"/>
  <c r="R89" i="2"/>
  <c r="AA92" i="2"/>
  <c r="Z92" i="2"/>
  <c r="K92" i="2"/>
  <c r="N92" i="2"/>
  <c r="Q92" i="2"/>
  <c r="L92" i="2"/>
  <c r="G87" i="2"/>
  <c r="G93" i="2" s="1"/>
  <c r="G80" i="2"/>
  <c r="AA94" i="2" l="1"/>
  <c r="AA117" i="2" s="1"/>
  <c r="AA89" i="2"/>
  <c r="T94" i="2"/>
  <c r="T117" i="2" s="1"/>
  <c r="V94" i="2"/>
  <c r="V117" i="2" s="1"/>
  <c r="V89" i="2"/>
  <c r="Z94" i="2"/>
  <c r="Z117" i="2" s="1"/>
  <c r="Z133" i="2" s="1"/>
  <c r="AC94" i="2"/>
  <c r="AC117" i="2" s="1"/>
  <c r="AC133" i="2" s="1"/>
  <c r="T89" i="2"/>
  <c r="T123" i="2" s="1"/>
  <c r="X89" i="2"/>
  <c r="X94" i="2"/>
  <c r="X117" i="2" s="1"/>
  <c r="X133" i="2" s="1"/>
  <c r="N94" i="2"/>
  <c r="N117" i="2" s="1"/>
  <c r="N133" i="2" s="1"/>
  <c r="I89" i="2"/>
  <c r="I94" i="2"/>
  <c r="I117" i="2" s="1"/>
  <c r="I133" i="2" s="1"/>
  <c r="N89" i="2"/>
  <c r="AI89" i="2"/>
  <c r="AI123" i="2" s="1"/>
  <c r="Z89" i="2"/>
  <c r="K89" i="2"/>
  <c r="K94" i="2"/>
  <c r="K117" i="2" s="1"/>
  <c r="K133" i="2" s="1"/>
  <c r="M89" i="2"/>
  <c r="AF89" i="2"/>
  <c r="AI94" i="2"/>
  <c r="AI117" i="2" s="1"/>
  <c r="AI133" i="2" s="1"/>
  <c r="M94" i="2"/>
  <c r="M117" i="2" s="1"/>
  <c r="M133" i="2" s="1"/>
  <c r="Q94" i="2"/>
  <c r="Q117" i="2" s="1"/>
  <c r="Q133" i="2" s="1"/>
  <c r="O94" i="2"/>
  <c r="O117" i="2" s="1"/>
  <c r="O133" i="2" s="1"/>
  <c r="Q89" i="2"/>
  <c r="AB89" i="2"/>
  <c r="AB94" i="2"/>
  <c r="AB117" i="2" s="1"/>
  <c r="AH89" i="2"/>
  <c r="O89" i="2"/>
  <c r="U89" i="2"/>
  <c r="U94" i="2"/>
  <c r="U117" i="2" s="1"/>
  <c r="U133" i="2" s="1"/>
  <c r="H89" i="2"/>
  <c r="AH94" i="2"/>
  <c r="AH117" i="2" s="1"/>
  <c r="AH133" i="2" s="1"/>
  <c r="AF94" i="2"/>
  <c r="AF117" i="2" s="1"/>
  <c r="AF123" i="2" s="1"/>
  <c r="AD89" i="2"/>
  <c r="J94" i="2"/>
  <c r="J117" i="2" s="1"/>
  <c r="J123" i="2" s="1"/>
  <c r="AE89" i="2"/>
  <c r="P89" i="2"/>
  <c r="AD94" i="2"/>
  <c r="AD117" i="2" s="1"/>
  <c r="AD133" i="2" s="1"/>
  <c r="P94" i="2"/>
  <c r="P117" i="2" s="1"/>
  <c r="AE94" i="2"/>
  <c r="AE117" i="2" s="1"/>
  <c r="AE133" i="2" s="1"/>
  <c r="S89" i="2"/>
  <c r="AJ89" i="2"/>
  <c r="J89" i="2"/>
  <c r="AK89" i="2"/>
  <c r="AK94" i="2"/>
  <c r="AK117" i="2" s="1"/>
  <c r="AK119" i="2" s="1"/>
  <c r="S94" i="2"/>
  <c r="S117" i="2" s="1"/>
  <c r="S133" i="2" s="1"/>
  <c r="W94" i="2"/>
  <c r="W117" i="2" s="1"/>
  <c r="W133" i="2" s="1"/>
  <c r="W89" i="2"/>
  <c r="L94" i="2"/>
  <c r="L117" i="2" s="1"/>
  <c r="L133" i="2" s="1"/>
  <c r="L89" i="2"/>
  <c r="Y89" i="2"/>
  <c r="Y94" i="2"/>
  <c r="Y117" i="2" s="1"/>
  <c r="AG89" i="2"/>
  <c r="AG94" i="2"/>
  <c r="AG117" i="2" s="1"/>
  <c r="AG123" i="2" s="1"/>
  <c r="AJ94" i="2"/>
  <c r="AJ117" i="2" s="1"/>
  <c r="AJ133" i="2" s="1"/>
  <c r="R133" i="2"/>
  <c r="R123" i="2"/>
  <c r="R119" i="2"/>
  <c r="AK133" i="2"/>
  <c r="AK123" i="2"/>
  <c r="H119" i="2"/>
  <c r="H123" i="2"/>
  <c r="H133" i="2"/>
  <c r="T133" i="2"/>
  <c r="G92" i="2"/>
  <c r="G94" i="2" s="1"/>
  <c r="G117" i="2" s="1"/>
  <c r="G89" i="2"/>
  <c r="AA123" i="2"/>
  <c r="AA119" i="2"/>
  <c r="AA133" i="2"/>
  <c r="V133" i="2"/>
  <c r="V123" i="2"/>
  <c r="V119" i="2" l="1"/>
  <c r="T119" i="2"/>
  <c r="T135" i="2" s="1"/>
  <c r="AK135" i="2"/>
  <c r="AK125" i="2"/>
  <c r="AB123" i="2"/>
  <c r="N123" i="2"/>
  <c r="N119" i="2"/>
  <c r="N135" i="2" s="1"/>
  <c r="AG133" i="2"/>
  <c r="AC119" i="2"/>
  <c r="AC135" i="2" s="1"/>
  <c r="AC123" i="2"/>
  <c r="AJ123" i="2"/>
  <c r="X123" i="2"/>
  <c r="AF133" i="2"/>
  <c r="AF139" i="2" s="1"/>
  <c r="K123" i="2"/>
  <c r="P123" i="2"/>
  <c r="Z123" i="2"/>
  <c r="M123" i="2"/>
  <c r="I123" i="2"/>
  <c r="I119" i="2"/>
  <c r="I135" i="2" s="1"/>
  <c r="AH123" i="2"/>
  <c r="U123" i="2"/>
  <c r="AD123" i="2"/>
  <c r="Y123" i="2"/>
  <c r="W123" i="2"/>
  <c r="AB133" i="2"/>
  <c r="AB139" i="2" s="1"/>
  <c r="L123" i="2"/>
  <c r="Y133" i="2"/>
  <c r="Y139" i="2" s="1"/>
  <c r="AE123" i="2"/>
  <c r="S123" i="2"/>
  <c r="Q123" i="2"/>
  <c r="J133" i="2"/>
  <c r="J139" i="2" s="1"/>
  <c r="P133" i="2"/>
  <c r="P139" i="2" s="1"/>
  <c r="O123" i="2"/>
  <c r="Z119" i="2"/>
  <c r="Z135" i="2" s="1"/>
  <c r="X119" i="2"/>
  <c r="X135" i="2" s="1"/>
  <c r="K119" i="2"/>
  <c r="K135" i="2" s="1"/>
  <c r="M119" i="2"/>
  <c r="M135" i="2" s="1"/>
  <c r="AI119" i="2"/>
  <c r="AI125" i="2" s="1"/>
  <c r="Q119" i="2"/>
  <c r="O119" i="2"/>
  <c r="AB119" i="2"/>
  <c r="U119" i="2"/>
  <c r="U135" i="2" s="1"/>
  <c r="P119" i="2"/>
  <c r="AH119" i="2"/>
  <c r="AH135" i="2" s="1"/>
  <c r="AF119" i="2"/>
  <c r="AF125" i="2" s="1"/>
  <c r="J119" i="2"/>
  <c r="J125" i="2" s="1"/>
  <c r="AD119" i="2"/>
  <c r="AD135" i="2" s="1"/>
  <c r="AG119" i="2"/>
  <c r="AG125" i="2" s="1"/>
  <c r="AE119" i="2"/>
  <c r="AJ119" i="2"/>
  <c r="AJ125" i="2" s="1"/>
  <c r="S119" i="2"/>
  <c r="Y119" i="2"/>
  <c r="W119" i="2"/>
  <c r="W135" i="2" s="1"/>
  <c r="L119" i="2"/>
  <c r="T125" i="2"/>
  <c r="H125" i="2"/>
  <c r="R125" i="2"/>
  <c r="AA125" i="2"/>
  <c r="V125" i="2"/>
  <c r="H135" i="2"/>
  <c r="H139" i="2"/>
  <c r="AJ139" i="2"/>
  <c r="W139" i="2"/>
  <c r="AD139" i="2"/>
  <c r="AA139" i="2"/>
  <c r="AA135" i="2"/>
  <c r="AG139" i="2"/>
  <c r="AK139" i="2"/>
  <c r="G133" i="2"/>
  <c r="G123" i="2"/>
  <c r="G119" i="2"/>
  <c r="G120" i="2" s="1"/>
  <c r="G118" i="2"/>
  <c r="C117" i="2"/>
  <c r="O139" i="2"/>
  <c r="R139" i="2"/>
  <c r="R135" i="2"/>
  <c r="L139" i="2"/>
  <c r="AE139" i="2"/>
  <c r="S139" i="2"/>
  <c r="T139" i="2"/>
  <c r="U139" i="2"/>
  <c r="AI139" i="2"/>
  <c r="I139" i="2"/>
  <c r="Q139" i="2"/>
  <c r="Z139" i="2"/>
  <c r="M139" i="2"/>
  <c r="K139" i="2"/>
  <c r="X139" i="2"/>
  <c r="N139" i="2"/>
  <c r="V139" i="2"/>
  <c r="V135" i="2"/>
  <c r="AH139" i="2"/>
  <c r="AC139" i="2"/>
  <c r="AC125" i="2" l="1"/>
  <c r="AK141" i="2"/>
  <c r="K125" i="2"/>
  <c r="N125" i="2"/>
  <c r="AI135" i="2"/>
  <c r="AI141" i="2" s="1"/>
  <c r="I125" i="2"/>
  <c r="AB135" i="2"/>
  <c r="AB141" i="2" s="1"/>
  <c r="M125" i="2"/>
  <c r="X125" i="2"/>
  <c r="L125" i="2"/>
  <c r="Y125" i="2"/>
  <c r="O125" i="2"/>
  <c r="P135" i="2"/>
  <c r="P141" i="2" s="1"/>
  <c r="Q125" i="2"/>
  <c r="S125" i="2"/>
  <c r="AE125" i="2"/>
  <c r="Z125" i="2"/>
  <c r="P125" i="2"/>
  <c r="Q135" i="2"/>
  <c r="Q141" i="2" s="1"/>
  <c r="O135" i="2"/>
  <c r="O141" i="2" s="1"/>
  <c r="AH125" i="2"/>
  <c r="AB125" i="2"/>
  <c r="J135" i="2"/>
  <c r="J141" i="2" s="1"/>
  <c r="AF135" i="2"/>
  <c r="AF141" i="2" s="1"/>
  <c r="U125" i="2"/>
  <c r="AG135" i="2"/>
  <c r="AG141" i="2" s="1"/>
  <c r="Y135" i="2"/>
  <c r="Y141" i="2" s="1"/>
  <c r="AD125" i="2"/>
  <c r="AE135" i="2"/>
  <c r="AE141" i="2" s="1"/>
  <c r="S135" i="2"/>
  <c r="S141" i="2" s="1"/>
  <c r="W125" i="2"/>
  <c r="AJ135" i="2"/>
  <c r="AJ141" i="2" s="1"/>
  <c r="L135" i="2"/>
  <c r="L141" i="2" s="1"/>
  <c r="Z141" i="2"/>
  <c r="T141" i="2"/>
  <c r="H141" i="2"/>
  <c r="W141" i="2"/>
  <c r="U141" i="2"/>
  <c r="K141" i="2"/>
  <c r="I141" i="2"/>
  <c r="N141" i="2"/>
  <c r="AH141" i="2"/>
  <c r="V141" i="2"/>
  <c r="M141" i="2"/>
  <c r="AA141" i="2"/>
  <c r="AD141" i="2"/>
  <c r="H120" i="2"/>
  <c r="I120" i="2" s="1"/>
  <c r="J120" i="2" s="1"/>
  <c r="K120" i="2" s="1"/>
  <c r="L120" i="2" s="1"/>
  <c r="M120" i="2" s="1"/>
  <c r="N120" i="2" s="1"/>
  <c r="O120" i="2" s="1"/>
  <c r="P120" i="2" s="1"/>
  <c r="Q120" i="2" s="1"/>
  <c r="R120" i="2" s="1"/>
  <c r="S120" i="2" s="1"/>
  <c r="T120" i="2" s="1"/>
  <c r="U120" i="2" s="1"/>
  <c r="V120" i="2" s="1"/>
  <c r="W120" i="2" s="1"/>
  <c r="X120" i="2" s="1"/>
  <c r="Y120" i="2" s="1"/>
  <c r="Z120" i="2" s="1"/>
  <c r="AA120" i="2" s="1"/>
  <c r="AB120" i="2" s="1"/>
  <c r="AC120" i="2" s="1"/>
  <c r="AD120" i="2" s="1"/>
  <c r="AE120" i="2" s="1"/>
  <c r="AF120" i="2" s="1"/>
  <c r="AG120" i="2" s="1"/>
  <c r="AH120" i="2" s="1"/>
  <c r="AI120" i="2" s="1"/>
  <c r="AJ120" i="2" s="1"/>
  <c r="AK120" i="2" s="1"/>
  <c r="G135" i="2"/>
  <c r="G136" i="2" s="1"/>
  <c r="G139" i="2"/>
  <c r="G134" i="2"/>
  <c r="C133" i="2"/>
  <c r="H118" i="2"/>
  <c r="I118" i="2" s="1"/>
  <c r="J118" i="2" s="1"/>
  <c r="K118" i="2" s="1"/>
  <c r="L118" i="2" s="1"/>
  <c r="M118" i="2" s="1"/>
  <c r="N118" i="2" s="1"/>
  <c r="O118" i="2" s="1"/>
  <c r="P118" i="2" s="1"/>
  <c r="Q118" i="2" s="1"/>
  <c r="R118" i="2" s="1"/>
  <c r="S118" i="2" s="1"/>
  <c r="T118" i="2" s="1"/>
  <c r="U118" i="2" s="1"/>
  <c r="V118" i="2" s="1"/>
  <c r="W118" i="2" s="1"/>
  <c r="X118" i="2" s="1"/>
  <c r="Y118" i="2" s="1"/>
  <c r="Z118" i="2" s="1"/>
  <c r="AA118" i="2" s="1"/>
  <c r="AB118" i="2" s="1"/>
  <c r="AC118" i="2" s="1"/>
  <c r="AD118" i="2" s="1"/>
  <c r="AE118" i="2" s="1"/>
  <c r="AF118" i="2" s="1"/>
  <c r="AG118" i="2" s="1"/>
  <c r="AH118" i="2" s="1"/>
  <c r="AI118" i="2" s="1"/>
  <c r="AJ118" i="2" s="1"/>
  <c r="AK118" i="2" s="1"/>
  <c r="G124" i="2"/>
  <c r="G125" i="2"/>
  <c r="R141" i="2"/>
  <c r="AC141" i="2"/>
  <c r="X141" i="2"/>
  <c r="C119" i="2"/>
  <c r="B57" i="4" s="1"/>
  <c r="C16" i="7" s="1"/>
  <c r="C123" i="2"/>
  <c r="B70" i="4" l="1"/>
  <c r="B71" i="4" s="1"/>
  <c r="C70" i="4" a="1"/>
  <c r="C70" i="4" s="1"/>
  <c r="C71" i="4" s="1"/>
  <c r="E5" i="7"/>
  <c r="E6" i="7" s="1"/>
  <c r="F5" i="7"/>
  <c r="F6" i="7" s="1"/>
  <c r="D5" i="7"/>
  <c r="D6" i="7" s="1"/>
  <c r="C5" i="7"/>
  <c r="C6" i="7" s="1"/>
  <c r="A118" i="2" a="1"/>
  <c r="A118" i="2" s="1"/>
  <c r="C118" i="2" s="1" a="1"/>
  <c r="C118" i="2" s="1"/>
  <c r="G126" i="2"/>
  <c r="H126" i="2" s="1"/>
  <c r="I126" i="2" s="1"/>
  <c r="J126" i="2" s="1"/>
  <c r="K126" i="2" s="1"/>
  <c r="L126" i="2" s="1"/>
  <c r="M126" i="2" s="1"/>
  <c r="N126" i="2" s="1"/>
  <c r="O126" i="2" s="1"/>
  <c r="P126" i="2" s="1"/>
  <c r="Q126" i="2" s="1"/>
  <c r="R126" i="2" s="1"/>
  <c r="S126" i="2" s="1"/>
  <c r="T126" i="2" s="1"/>
  <c r="U126" i="2" s="1"/>
  <c r="V126" i="2" s="1"/>
  <c r="W126" i="2" s="1"/>
  <c r="X126" i="2" s="1"/>
  <c r="Y126" i="2" s="1"/>
  <c r="Z126" i="2" s="1"/>
  <c r="AA126" i="2" s="1"/>
  <c r="AB126" i="2" s="1"/>
  <c r="AC126" i="2" s="1"/>
  <c r="AD126" i="2" s="1"/>
  <c r="AE126" i="2" s="1"/>
  <c r="C125" i="2"/>
  <c r="H124" i="2"/>
  <c r="I124" i="2" s="1"/>
  <c r="J124" i="2" s="1"/>
  <c r="K124" i="2" s="1"/>
  <c r="L124" i="2" s="1"/>
  <c r="M124" i="2" s="1"/>
  <c r="N124" i="2" s="1"/>
  <c r="O124" i="2" s="1"/>
  <c r="P124" i="2" s="1"/>
  <c r="Q124" i="2" s="1"/>
  <c r="R124" i="2" s="1"/>
  <c r="S124" i="2" s="1"/>
  <c r="T124" i="2" s="1"/>
  <c r="U124" i="2" s="1"/>
  <c r="V124" i="2" s="1"/>
  <c r="W124" i="2" s="1"/>
  <c r="X124" i="2" s="1"/>
  <c r="Y124" i="2" s="1"/>
  <c r="Z124" i="2" s="1"/>
  <c r="AA124" i="2" s="1"/>
  <c r="AB124" i="2" s="1"/>
  <c r="AC124" i="2" s="1"/>
  <c r="AD124" i="2" s="1"/>
  <c r="AE124" i="2" s="1"/>
  <c r="AF124" i="2" s="1"/>
  <c r="AG124" i="2" s="1"/>
  <c r="AH124" i="2" s="1"/>
  <c r="AI124" i="2" s="1"/>
  <c r="AJ124" i="2" s="1"/>
  <c r="AK124" i="2" s="1"/>
  <c r="H136" i="2"/>
  <c r="I136" i="2" s="1"/>
  <c r="J136" i="2" s="1"/>
  <c r="K136" i="2" s="1"/>
  <c r="L136" i="2" s="1"/>
  <c r="M136" i="2" s="1"/>
  <c r="N136" i="2" s="1"/>
  <c r="O136" i="2" s="1"/>
  <c r="P136" i="2" s="1"/>
  <c r="Q136" i="2" s="1"/>
  <c r="R136" i="2" s="1"/>
  <c r="S136" i="2" s="1"/>
  <c r="T136" i="2" s="1"/>
  <c r="U136" i="2" s="1"/>
  <c r="V136" i="2" s="1"/>
  <c r="W136" i="2" s="1"/>
  <c r="X136" i="2" s="1"/>
  <c r="Y136" i="2" s="1"/>
  <c r="Z136" i="2" s="1"/>
  <c r="AA136" i="2" s="1"/>
  <c r="AB136" i="2" s="1"/>
  <c r="AC136" i="2" s="1"/>
  <c r="AD136" i="2" s="1"/>
  <c r="AE136" i="2" s="1"/>
  <c r="AF136" i="2" s="1"/>
  <c r="AG136" i="2" s="1"/>
  <c r="AH136" i="2" s="1"/>
  <c r="AI136" i="2" s="1"/>
  <c r="AJ136" i="2" s="1"/>
  <c r="AK136" i="2" s="1"/>
  <c r="A120" i="2" a="1"/>
  <c r="A120" i="2" s="1"/>
  <c r="C120" i="2" s="1" a="1"/>
  <c r="C120" i="2" s="1"/>
  <c r="C135" i="2"/>
  <c r="B58" i="4" s="1"/>
  <c r="C18" i="7" s="1"/>
  <c r="H134" i="2"/>
  <c r="I134" i="2" s="1"/>
  <c r="J134" i="2" s="1"/>
  <c r="K134" i="2" s="1"/>
  <c r="L134" i="2" s="1"/>
  <c r="M134" i="2" s="1"/>
  <c r="N134" i="2" s="1"/>
  <c r="O134" i="2" s="1"/>
  <c r="P134" i="2" s="1"/>
  <c r="Q134" i="2" s="1"/>
  <c r="R134" i="2" s="1"/>
  <c r="S134" i="2" s="1"/>
  <c r="T134" i="2" s="1"/>
  <c r="U134" i="2" s="1"/>
  <c r="V134" i="2" s="1"/>
  <c r="W134" i="2" s="1"/>
  <c r="X134" i="2" s="1"/>
  <c r="Y134" i="2" s="1"/>
  <c r="Z134" i="2" s="1"/>
  <c r="AA134" i="2" s="1"/>
  <c r="AB134" i="2" s="1"/>
  <c r="AC134" i="2" s="1"/>
  <c r="AD134" i="2" s="1"/>
  <c r="AE134" i="2" s="1"/>
  <c r="AF134" i="2" s="1"/>
  <c r="AG134" i="2" s="1"/>
  <c r="AH134" i="2" s="1"/>
  <c r="AI134" i="2" s="1"/>
  <c r="AJ134" i="2" s="1"/>
  <c r="AK134" i="2" s="1"/>
  <c r="G140" i="2"/>
  <c r="G141" i="2"/>
  <c r="C139" i="2"/>
  <c r="C57" i="4" l="1"/>
  <c r="C19" i="7" s="1"/>
  <c r="C8" i="7"/>
  <c r="C12" i="7"/>
  <c r="D8" i="7"/>
  <c r="D12" i="7"/>
  <c r="F8" i="7"/>
  <c r="F15" i="7" s="1"/>
  <c r="F13" i="7"/>
  <c r="E8" i="7"/>
  <c r="E15" i="7" s="1"/>
  <c r="E13" i="7"/>
  <c r="A136" i="2" a="1"/>
  <c r="A136" i="2" s="1"/>
  <c r="C136" i="2" s="1" a="1"/>
  <c r="C136" i="2" s="1"/>
  <c r="A62" i="4" s="1" a="1"/>
  <c r="A62" i="4" s="1"/>
  <c r="A124" i="2" a="1"/>
  <c r="A124" i="2" s="1"/>
  <c r="C124" i="2" s="1" a="1"/>
  <c r="C124" i="2" s="1"/>
  <c r="C121" i="5"/>
  <c r="D121" i="5" s="1"/>
  <c r="C119" i="5"/>
  <c r="D119" i="5" s="1"/>
  <c r="A134" i="2" a="1"/>
  <c r="A134" i="2" s="1"/>
  <c r="C134" i="2" s="1" a="1"/>
  <c r="C134" i="2" s="1"/>
  <c r="G142" i="2"/>
  <c r="H142" i="2" s="1"/>
  <c r="I142" i="2" s="1"/>
  <c r="J142" i="2" s="1"/>
  <c r="K142" i="2" s="1"/>
  <c r="L142" i="2" s="1"/>
  <c r="M142" i="2" s="1"/>
  <c r="N142" i="2" s="1"/>
  <c r="O142" i="2" s="1"/>
  <c r="P142" i="2" s="1"/>
  <c r="Q142" i="2" s="1"/>
  <c r="R142" i="2" s="1"/>
  <c r="S142" i="2" s="1"/>
  <c r="T142" i="2" s="1"/>
  <c r="U142" i="2" s="1"/>
  <c r="V142" i="2" s="1"/>
  <c r="W142" i="2" s="1"/>
  <c r="X142" i="2" s="1"/>
  <c r="Y142" i="2" s="1"/>
  <c r="Z142" i="2" s="1"/>
  <c r="AA142" i="2" s="1"/>
  <c r="AB142" i="2" s="1"/>
  <c r="AC142" i="2" s="1"/>
  <c r="AD142" i="2" s="1"/>
  <c r="AE142" i="2" s="1"/>
  <c r="C141" i="2"/>
  <c r="H140" i="2"/>
  <c r="I140" i="2" s="1"/>
  <c r="J140" i="2" s="1"/>
  <c r="K140" i="2" s="1"/>
  <c r="L140" i="2" s="1"/>
  <c r="M140" i="2" s="1"/>
  <c r="N140" i="2" s="1"/>
  <c r="O140" i="2" s="1"/>
  <c r="P140" i="2" s="1"/>
  <c r="Q140" i="2" s="1"/>
  <c r="R140" i="2" s="1"/>
  <c r="S140" i="2" s="1"/>
  <c r="T140" i="2" s="1"/>
  <c r="U140" i="2" s="1"/>
  <c r="V140" i="2" s="1"/>
  <c r="W140" i="2" s="1"/>
  <c r="X140" i="2" s="1"/>
  <c r="Y140" i="2" s="1"/>
  <c r="Z140" i="2" s="1"/>
  <c r="AA140" i="2" s="1"/>
  <c r="AB140" i="2" s="1"/>
  <c r="AC140" i="2" s="1"/>
  <c r="AD140" i="2" s="1"/>
  <c r="AE140" i="2" s="1"/>
  <c r="AF140" i="2" s="1"/>
  <c r="AG140" i="2" s="1"/>
  <c r="AH140" i="2" s="1"/>
  <c r="AI140" i="2" s="1"/>
  <c r="AJ140" i="2" s="1"/>
  <c r="AK140" i="2" s="1"/>
  <c r="A126" i="2" a="1"/>
  <c r="A126" i="2" s="1"/>
  <c r="AF126" i="2"/>
  <c r="AG126" i="2" s="1"/>
  <c r="AH126" i="2" s="1"/>
  <c r="AI126" i="2" s="1"/>
  <c r="AJ126" i="2" s="1"/>
  <c r="AK126" i="2" s="1"/>
  <c r="C126" i="2" l="1" a="1"/>
  <c r="C126" i="2" s="1"/>
  <c r="C58" i="4"/>
  <c r="C77" i="4" s="1"/>
  <c r="A140" i="2" a="1"/>
  <c r="A140" i="2" s="1"/>
  <c r="C140" i="2" s="1" a="1"/>
  <c r="C140" i="2" s="1"/>
  <c r="A142" i="2" a="1"/>
  <c r="A142" i="2" s="1"/>
  <c r="AF142" i="2"/>
  <c r="C80" i="4" l="1"/>
  <c r="C21" i="7"/>
  <c r="A61" i="4"/>
  <c r="B77" i="4"/>
  <c r="C142" i="2" a="1"/>
  <c r="C142" i="2" s="1"/>
  <c r="AG142" i="2"/>
  <c r="AH142" i="2" s="1"/>
  <c r="AI142" i="2" s="1"/>
  <c r="AJ142" i="2" s="1"/>
  <c r="AK142" i="2" s="1"/>
  <c r="P157" i="5"/>
  <c r="O157" i="5" s="1"/>
  <c r="N157" i="5" s="1"/>
  <c r="M157" i="5" s="1"/>
  <c r="L157" i="5" s="1"/>
  <c r="K157" i="5" s="1"/>
  <c r="J157" i="5" s="1"/>
  <c r="I157" i="5" s="1"/>
  <c r="H157" i="5" s="1"/>
  <c r="G157" i="5" s="1"/>
  <c r="F157" i="5" s="1"/>
  <c r="E157" i="5" s="1"/>
  <c r="D157" i="5" s="1"/>
  <c r="C157" i="5" s="1"/>
  <c r="Q157" i="5"/>
  <c r="R157" i="5" s="1"/>
  <c r="S157" i="5" s="1"/>
  <c r="T157" i="5" s="1"/>
  <c r="U157" i="5" s="1"/>
  <c r="V157" i="5" s="1"/>
  <c r="W157" i="5" s="1"/>
  <c r="X157" i="5" s="1"/>
  <c r="Y157" i="5" s="1"/>
  <c r="Z157" i="5" s="1"/>
  <c r="AA157" i="5" s="1"/>
  <c r="AB157" i="5" s="1"/>
  <c r="AC157" i="5" s="1"/>
  <c r="AD157" i="5" s="1"/>
  <c r="AE157" i="5" s="1"/>
  <c r="AF157" i="5" s="1"/>
  <c r="AG157" i="5" s="1"/>
  <c r="AH157" i="5" s="1"/>
  <c r="AI157" i="5" s="1"/>
  <c r="AJ157" i="5" s="1"/>
  <c r="AK157" i="5" s="1"/>
  <c r="AL157" i="5" s="1"/>
  <c r="AM157" i="5" s="1"/>
  <c r="AN157" i="5" s="1"/>
  <c r="AO157" i="5" s="1"/>
  <c r="AP157" i="5" s="1"/>
  <c r="AQ157" i="5" s="1"/>
  <c r="AR157" i="5" s="1"/>
  <c r="AS157" i="5" s="1"/>
  <c r="AT157" i="5" s="1"/>
  <c r="AU157" i="5" s="1"/>
  <c r="AV157" i="5" s="1"/>
  <c r="AW157" i="5" s="1"/>
  <c r="AX157" i="5" s="1"/>
  <c r="AY157" i="5" s="1"/>
  <c r="AZ157" i="5" s="1"/>
  <c r="BA157" i="5" s="1"/>
  <c r="BB157" i="5" s="1"/>
  <c r="O156" i="5"/>
  <c r="N156" i="5"/>
  <c r="M156" i="5" s="1"/>
  <c r="L156" i="5" s="1"/>
  <c r="K156" i="5" s="1"/>
  <c r="J156" i="5" s="1"/>
  <c r="I156" i="5" s="1"/>
  <c r="H156" i="5" s="1"/>
  <c r="G156" i="5" s="1"/>
  <c r="F156" i="5" s="1"/>
  <c r="E156" i="5" s="1"/>
  <c r="D156" i="5" s="1"/>
  <c r="C156" i="5" s="1"/>
  <c r="P156" i="5"/>
  <c r="Q156" i="5" s="1"/>
  <c r="R156" i="5" s="1"/>
  <c r="S156" i="5" s="1"/>
  <c r="T156" i="5" s="1"/>
  <c r="U156" i="5" s="1"/>
  <c r="V156" i="5" s="1"/>
  <c r="W156" i="5" s="1"/>
  <c r="X156" i="5" s="1"/>
  <c r="Y156" i="5" s="1"/>
  <c r="Z156" i="5" s="1"/>
  <c r="AA156" i="5" s="1"/>
  <c r="AB156" i="5" s="1"/>
  <c r="AC156" i="5" s="1"/>
  <c r="AD156" i="5" s="1"/>
  <c r="AE156" i="5" s="1"/>
  <c r="AF156" i="5" s="1"/>
  <c r="AG156" i="5" s="1"/>
  <c r="AH156" i="5" s="1"/>
  <c r="AI156" i="5" s="1"/>
  <c r="AJ156" i="5" s="1"/>
  <c r="AK156" i="5" s="1"/>
  <c r="AL156" i="5" s="1"/>
  <c r="AM156" i="5" s="1"/>
  <c r="AN156" i="5" s="1"/>
  <c r="AO156" i="5" s="1"/>
  <c r="AP156" i="5" s="1"/>
  <c r="AQ156" i="5" s="1"/>
  <c r="AR156" i="5" s="1"/>
  <c r="AS156" i="5" s="1"/>
  <c r="AT156" i="5" s="1"/>
  <c r="AU156" i="5" s="1"/>
  <c r="AV156" i="5" s="1"/>
  <c r="AW156" i="5" s="1"/>
  <c r="AX156" i="5" s="1"/>
  <c r="AY156" i="5" s="1"/>
  <c r="AZ156" i="5" s="1"/>
  <c r="BA156" i="5" s="1"/>
  <c r="BB15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tc={AFDAEDF5-65BC-4206-BA47-1087ADD67483}</author>
    <author>tc={6EE8F623-F245-4005-9F0D-A7E13567196F}</author>
    <author>tc={3F366BD8-DF30-4BC4-8C74-E67A16FCC877}</author>
    <author>tc={101E4F84-385A-4726-9B6F-D9AB10261D85}</author>
    <author>tc={37FF8016-5D0D-4265-A491-F24E200E8FD5}</author>
    <author>tc={2A186A36-CCAA-4D35-92C1-23383365C83D}</author>
    <author>tc={A228394E-0D31-48C9-84E0-8BEB9AD96B34}</author>
    <author>tc={FD02AE8F-4549-4F3A-9136-D4CE644C0471}</author>
    <author>tc={F05B89CD-9206-41E4-8ACE-7EF179BF54D2}</author>
    <author>tc={E1F63582-57AC-493D-A62E-DC91CBF5B622}</author>
    <author>tc={A0A2984D-6F53-40E7-8355-73B7929AFD19}</author>
    <author>tc={6AF0B290-703A-47E0-A846-E7DF368E0D3C}</author>
    <author>tc={D7BE023E-E333-4F60-BF1B-B9FEE666A73E}</author>
    <author>tc={56AFFEA8-5B70-4C7E-A97B-DADC146D9C4D}</author>
    <author>tc={B81E2207-82FF-4783-920A-91CAAE983903}</author>
    <author>tc={1A76C9DB-3BEF-4343-ABC8-F8D53FABAB6F}</author>
    <author>tc={DC227408-5684-4472-B54D-2A57268DD77E}</author>
    <author>tc={96CE323B-5DC6-4E2A-991E-3F67A71A3EE0}</author>
    <author>tc={5BF96F5B-224B-4307-A9B7-2F520C76F87B}</author>
    <author>tc={938C6F2D-911C-4A44-BA8C-6BFBB242698D}</author>
    <author>tc={654B28AE-D572-4BE0-BF66-89EC7057C865}</author>
    <author>tc={BC2315C8-172C-417C-8258-E36AEA506F09}</author>
    <author>tc={821F5C18-1AFE-4D4F-A062-0F20F45810E1}</author>
    <author>tc={D8DCC0B4-EEBB-4615-A807-63E9701B65B7}</author>
    <author>tc={A20DEBE9-015D-48AC-BD61-247394A48FE0}</author>
    <author>tc={C3F85372-42CA-4B43-993F-CECCB7D01BD6}</author>
    <author>tc={EF8A4AD8-BB76-4A2E-8C81-73D14AFFD15C}</author>
    <author>tc={06848349-42A6-4DC3-8084-C7EACA45B258}</author>
    <author>tc={58F8B825-8389-4B6E-B898-5773AA0FFE70}</author>
    <author>tc={E3B7DF84-6B1C-4AAF-9A8C-6DA6D123D087}</author>
    <author>tc={2400E68C-6886-4D45-9C33-BF798587312F}</author>
    <author>tc={E7595C26-4877-4F80-B3AC-756C1ED1874C}</author>
    <author>tc={1BC60EA3-ACA5-4288-A799-9ED9A8FBF80E}</author>
    <author>tc={3CDDA445-7A5E-4E88-BB93-AE1FB97532D0}</author>
    <author>tc={4D219F26-EEE5-4708-A4F8-788CF5F7C1E2}</author>
    <author>tc={B8501A18-9A4E-41B8-87D9-C9E03A2907F5}</author>
    <author>tc={71100D02-9151-485F-8F7B-DF53917F0D32}</author>
    <author>tc={14738670-12BC-410C-BAAD-CD3E7D7679F7}</author>
    <author>tc={4EFF95AD-E8B9-45FA-B2C2-00A712F4E417}</author>
    <author>tc={9FEB18BC-9E43-493E-86A8-005A59D82931}</author>
    <author>tc={C607C44D-4748-415A-8776-923824CD972B}</author>
    <author>tc={CA4F80B5-ADC5-4BCF-8457-DA766F65BE55}</author>
    <author>tc={AC907ABC-1FE1-4B01-8803-D5B5988888C2}</author>
    <author>tc={A95A72BF-6FB1-4AC4-ADC3-829ADE0E3577}</author>
    <author>tc={76095100-778C-4AE8-9217-F645144EB62F}</author>
    <author>tc={7096C39F-20DA-4BAD-84EF-53FA9621CC17}</author>
    <author>tc={454DB44C-304C-4E49-874A-B26DA0366E56}</author>
    <author>tc={1AFE8E3C-FA1A-4FCF-9D3F-8356CD5A505F}</author>
    <author>tc={FDE0A1FC-8BD6-4BFC-8D64-A7717B92BD1E}</author>
    <author>tc={8870C859-73BA-41BB-BF62-5A368D746DF1}</author>
    <author>tc={0914EDB7-88D9-4BE4-8FBD-7F536D46574E}</author>
    <author>tc={BD65A14C-5053-4E8E-A724-13048534651E}</author>
  </authors>
  <commentList>
    <comment ref="A5" authorId="0" shapeId="0" xr:uid="{AFDAEDF5-65BC-4206-BA47-1087ADD67483}">
      <text>
        <t>[Threaded comment]
Your version of Excel allows you to read this threaded comment; however, any edits to it will get removed if the file is opened in a newer version of Excel. Learn more: https://go.microsoft.com/fwlink/?linkid=870924
Comment:
    Which regional council or unitary authority, using definitions as per https://www.lgnz.co.nz/regionals/</t>
      </text>
    </comment>
    <comment ref="A7" authorId="1" shapeId="0" xr:uid="{6EE8F623-F245-4005-9F0D-A7E13567196F}">
      <text>
        <t>[Threaded comment]
Your version of Excel allows you to read this threaded comment; however, any edits to it will get removed if the file is opened in a newer version of Excel. Learn more: https://go.microsoft.com/fwlink/?linkid=870924
Comment:
    The date of submission of the application - together with the expected commissioning date, this is used to calculate the speed of implementation score.</t>
      </text>
    </comment>
    <comment ref="A8" authorId="2" shapeId="0" xr:uid="{3F366BD8-DF30-4BC4-8C74-E67A16FCC877}">
      <text>
        <t>[Threaded comment]
Your version of Excel allows you to read this threaded comment; however, any edits to it will get removed if the file is opened in a newer version of Excel. Learn more: https://go.microsoft.com/fwlink/?linkid=870924
Comment:
    This is the calendar year during which the first expenditure on the Preferred Project occurs.</t>
      </text>
    </comment>
    <comment ref="A9" authorId="3" shapeId="0" xr:uid="{101E4F84-385A-4726-9B6F-D9AB10261D85}">
      <text>
        <t>[Threaded comment]
Your version of Excel allows you to read this threaded comment; however, any edits to it will get removed if the file is opened in a newer version of Excel. Learn more: https://go.microsoft.com/fwlink/?linkid=870924
Comment:
    This is the date when the project will become operational.</t>
      </text>
    </comment>
    <comment ref="A10" authorId="4" shapeId="0" xr:uid="{37FF8016-5D0D-4265-A491-F24E200E8FD5}">
      <text>
        <t>[Threaded comment]
Your version of Excel allows you to read this threaded comment; however, any edits to it will get removed if the file is opened in a newer version of Excel. Learn more: https://go.microsoft.com/fwlink/?linkid=870924
Comment:
    Applicants to GIDI: Commercial Buildings: please respond with FALSE. Commercial space heating is not governed by the RMA rules for industrial process heat.
Applicants to GIDI: Industrial: if your project reduces coal consumption, please note that the use of coal to provide industrial process heat is subject to the Resource Management (National Environmental Standards for Greenhouse Gas Emissions from Industrial Process Heat) Regulations 2023 (SL 2023/165) – New Zealand Legislation.</t>
      </text>
    </comment>
    <comment ref="A11" authorId="5" shapeId="0" xr:uid="{2A186A36-CCAA-4D35-92C1-23383365C83D}">
      <text>
        <t>[Threaded comment]
Your version of Excel allows you to read this threaded comment; however, any edits to it will get removed if the file is opened in a newer version of Excel. Learn more: https://go.microsoft.com/fwlink/?linkid=870924
Comment:
    Note that high temperature heat pump projects will be evaluated over a maximum lifetime of 20 years. Other projects will be evaluated over a maximum lifetime of up to 25 years.</t>
      </text>
    </comment>
    <comment ref="A12" authorId="6" shapeId="0" xr:uid="{A228394E-0D31-48C9-84E0-8BEB9AD96B34}">
      <text>
        <t>[Threaded comment]
Your version of Excel allows you to read this threaded comment; however, any edits to it will get removed if the file is opened in a newer version of Excel. Learn more: https://go.microsoft.com/fwlink/?linkid=870924
Comment:
    With reference to Resource Management (National Environmental Standards for Greenhouse Gas Emissions from Industrial Process Heat) Regulations 2023 (SL 2023/165) – New Zealand Legislation,if there a reason why continuing to use coal past 2036 is a credible scenario without GIDI co-funding, please state the reason in your application form. If not, any coal reduction projects will be considered out to a final year of 2036.</t>
      </text>
    </comment>
    <comment ref="A13" authorId="7" shapeId="0" xr:uid="{FD02AE8F-4549-4F3A-9136-D4CE644C0471}">
      <text>
        <t>[Threaded comment]
Your version of Excel allows you to read this threaded comment; however, any edits to it will get removed if the file is opened in a newer version of Excel. Learn more: https://go.microsoft.com/fwlink/?linkid=870924
Comment:
    This will be used to determine the period over which the financial and emissions performance of the project should be evaluated. E.g. for boiler conversions, you should enter the remaining useful life of the existing boiler. Please ensure that the cashflow and fuel projections extend this far - noting that the first year of the project is counted as year 0.  Thus, a project with a 20 year life should have 21 years' worth of projected data input in the Cashflow tab. Data beyond the useful life of the project will be ignored in calculations within the workbook.</t>
      </text>
    </comment>
    <comment ref="A22" authorId="8" shapeId="0" xr:uid="{F05B89CD-9206-41E4-8ACE-7EF179BF54D2}">
      <text>
        <t>[Threaded comment]
Your version of Excel allows you to read this threaded comment; however, any edits to it will get removed if the file is opened in a newer version of Excel. Learn more: https://go.microsoft.com/fwlink/?linkid=870924
Comment:
    This is the inflation that will apply during the year - i.e. the increase in average prices over the period 1 January to 31 December.</t>
      </text>
    </comment>
    <comment ref="A25" authorId="9" shapeId="0" xr:uid="{E1F63582-57AC-493D-A62E-DC91CBF5B622}">
      <text>
        <t>[Threaded comment]
Your version of Excel allows you to read this threaded comment; however, any edits to it will get removed if the file is opened in a newer version of Excel. Learn more: https://go.microsoft.com/fwlink/?linkid=870924
Comment:
    Enter a value for one of the two options.  This information is used by EECA to determine the extent to which GIDI funding is required to enable the Project to proceed.
If your cashflows are in nominal terms (ie, including inflation) then any IRR and payback thresholds must also be specified in nominal terms, and vice-versa if your cashflows are specified in real terms (ie, excluding inflation)</t>
      </text>
    </comment>
    <comment ref="A29" authorId="10" shapeId="0" xr:uid="{A0A2984D-6F53-40E7-8355-73B7929AFD19}">
      <text>
        <t>[Threaded comment]
Your version of Excel allows you to read this threaded comment; however, any edits to it will get removed if the file is opened in a newer version of Excel. Learn more: https://go.microsoft.com/fwlink/?linkid=870924
Comment:
    In combination with the projected fuel consumption values supplied by the applicant, these are used to determine the emissions consequences of the project and the increased fossil fuel costs the applicant will face because of the ETS.</t>
      </text>
    </comment>
    <comment ref="N31" authorId="11" shapeId="0" xr:uid="{6AF0B290-703A-47E0-A846-E7DF368E0D3C}">
      <text>
        <t>[Threaded comment]
Your version of Excel allows you to read this threaded comment; however, any edits to it will get removed if the file is opened in a newer version of Excel. Learn more: https://go.microsoft.com/fwlink/?linkid=870924
Comment:
    This is the heat energy of any geothermal fluid supplied for heating purposes</t>
      </text>
    </comment>
    <comment ref="A32" authorId="12" shapeId="0" xr:uid="{D7BE023E-E333-4F60-BF1B-B9FEE666A73E}">
      <text>
        <t>[Threaded comment]
Your version of Excel allows you to read this threaded comment; however, any edits to it will get removed if the file is opened in a newer version of Excel. Learn more: https://go.microsoft.com/fwlink/?linkid=870924
Comment:
    Except where specified in individual comments, source is https://environment.govt.nz/assets/Publications/Files/Measuring-Emissions-Detailed-Guide-2020.pdf</t>
      </text>
    </comment>
    <comment ref="B32" authorId="13" shapeId="0" xr:uid="{56AFFEA8-5B70-4C7E-A97B-DADC146D9C4D}">
      <text>
        <t>[Threaded comment]
Your version of Excel allows you to read this threaded comment; however, any edits to it will get removed if the file is opened in a newer version of Excel. Learn more: https://go.microsoft.com/fwlink/?linkid=870924
Comment:
    Source: https://ccc-production-media.s3.ap-southeast-2.amazonaws.com/public/Inaia-tonu-nei-a-low-emissions-future-for-Aotearoa/Modelling-files/Scenarios-dataset-2021-final-advice.xlsx 
plus 8.7% (p38 of main ref)</t>
      </text>
    </comment>
    <comment ref="C32" authorId="14" shapeId="0" xr:uid="{B81E2207-82FF-4783-920A-91CAAE983903}">
      <text>
        <t>[Threaded comment]
Your version of Excel allows you to read this threaded comment; however, any edits to it will get removed if the file is opened in a newer version of Excel. Learn more: https://go.microsoft.com/fwlink/?linkid=870924
Comment:
    P25 of main reference, plus calculation of diesel emissions from transporting fuel an assumed 40 km</t>
      </text>
    </comment>
    <comment ref="D32" authorId="15" shapeId="0" xr:uid="{1A76C9DB-3BEF-4343-ABC8-F8D53FABAB6F}">
      <text>
        <t>[Threaded comment]
Your version of Excel allows you to read this threaded comment; however, any edits to it will get removed if the file is opened in a newer version of Excel. Learn more: https://go.microsoft.com/fwlink/?linkid=870924
Comment:
    P25 of main reference, plus calculation of diesel emissions from transporting fuel an assumed 40 km</t>
      </text>
    </comment>
    <comment ref="E32" authorId="16" shapeId="0" xr:uid="{DC227408-5684-4472-B54D-2A57268DD77E}">
      <text>
        <t>[Threaded comment]
Your version of Excel allows you to read this threaded comment; however, any edits to it will get removed if the file is opened in a newer version of Excel. Learn more: https://go.microsoft.com/fwlink/?linkid=870924
Comment:
    P25 of main reference, plus calculation of diesel emissions from transporting fuel an assumed 40 km</t>
      </text>
    </comment>
    <comment ref="F32" authorId="17" shapeId="0" xr:uid="{96CE323B-5DC6-4E2A-991E-3F67A71A3EE0}">
      <text>
        <t>[Threaded comment]
Your version of Excel allows you to read this threaded comment; however, any edits to it will get removed if the file is opened in a newer version of Excel. Learn more: https://go.microsoft.com/fwlink/?linkid=870924
Comment:
    P21 of main reference, plus calculation of diesel emissions from transporting fuel an assumed 40 km</t>
      </text>
    </comment>
    <comment ref="G32" authorId="18" shapeId="0" xr:uid="{5BF96F5B-224B-4307-A9B7-2F520C76F87B}">
      <text>
        <t>[Threaded comment]
Your version of Excel allows you to read this threaded comment; however, any edits to it will get removed if the file is opened in a newer version of Excel. Learn more: https://go.microsoft.com/fwlink/?linkid=870924
Comment:
    P21 of main reference, plus calculation of diesel emissions from transporting fuel an assumed 40 km</t>
      </text>
    </comment>
    <comment ref="H32" authorId="19" shapeId="0" xr:uid="{938C6F2D-911C-4A44-BA8C-6BFBB242698D}">
      <text>
        <t>[Threaded comment]
Your version of Excel allows you to read this threaded comment; however, any edits to it will get removed if the file is opened in a newer version of Excel. Learn more: https://go.microsoft.com/fwlink/?linkid=870924
Comment:
    P21 of main reference, plus calculation of diesel emissions from transporting fuel an assumed 40 km</t>
      </text>
    </comment>
    <comment ref="I32" authorId="20" shapeId="0" xr:uid="{654B28AE-D572-4BE0-BF66-89EC7057C865}">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J32" authorId="21" shapeId="0" xr:uid="{BC2315C8-172C-417C-8258-E36AEA506F09}">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K32" authorId="22" shapeId="0" xr:uid="{821F5C18-1AFE-4D4F-A062-0F20F45810E1}">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L32" authorId="23" shapeId="0" xr:uid="{D8DCC0B4-EEBB-4615-A807-63E9701B65B7}">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M32" authorId="24" shapeId="0" xr:uid="{A20DEBE9-015D-48AC-BD61-247394A48FE0}">
      <text>
        <t>[Threaded comment]
Your version of Excel allows you to read this threaded comment; however, any edits to it will get removed if the file is opened in a newer version of Excel. Learn more: https://go.microsoft.com/fwlink/?linkid=870924
Comment:
    P21 and P27 of main reference</t>
      </text>
    </comment>
    <comment ref="N32" authorId="25" shapeId="0" xr:uid="{C3F85372-42CA-4B43-993F-CECCB7D01BD6}">
      <text>
        <t>[Threaded comment]
Your version of Excel allows you to read this threaded comment; however, any edits to it will get removed if the file is opened in a newer version of Excel. Learn more: https://go.microsoft.com/fwlink/?linkid=870924
Comment:
    Source: https://www.nzgeothermal.org.nz/geothermal-in-nz/what-is-geothermal/#:~:text=The%20IPCC%20life%2Dcycle%20(LCA,)%2FkWh%20from%20operation%20only.</t>
      </text>
    </comment>
    <comment ref="A33" authorId="26" shapeId="0" xr:uid="{EF8A4AD8-BB76-4A2E-8C81-73D14AFFD15C}">
      <text>
        <t>[Threaded comment]
Your version of Excel allows you to read this threaded comment; however, any edits to it will get removed if the file is opened in a newer version of Excel. Learn more: https://go.microsoft.com/fwlink/?linkid=870924
Comment:
    Coal from different mines can have differing CO2 emissions, as can geothermal fluid from different fields.  Likewise, depending on distance from source and nature of supply, wood can have different emissions factors</t>
      </text>
    </comment>
    <comment ref="F35" authorId="27" shapeId="0" xr:uid="{06848349-42A6-4DC3-8084-C7EACA45B258}">
      <text>
        <t>[Threaded comment]
Your version of Excel allows you to read this threaded comment; however, any edits to it will get removed if the file is opened in a newer version of Excel. Learn more: https://go.microsoft.com/fwlink/?linkid=870924
Comment:
    See https://www.legislation.govt.nz/regulation/public/2009/0286/latest/DLM2378520.html for emissions factors</t>
      </text>
    </comment>
    <comment ref="G35" authorId="28" shapeId="0" xr:uid="{58F8B825-8389-4B6E-B898-5773AA0FFE70}">
      <text>
        <t>[Threaded comment]
Your version of Excel allows you to read this threaded comment; however, any edits to it will get removed if the file is opened in a newer version of Excel. Learn more: https://go.microsoft.com/fwlink/?linkid=870924
Comment:
    See https://www.legislation.govt.nz/regulation/public/2009/0286/latest/DLM2378520.html for emissions factors</t>
      </text>
    </comment>
    <comment ref="H35" authorId="29" shapeId="0" xr:uid="{E3B7DF84-6B1C-4AAF-9A8C-6DA6D123D087}">
      <text>
        <t>[Threaded comment]
Your version of Excel allows you to read this threaded comment; however, any edits to it will get removed if the file is opened in a newer version of Excel. Learn more: https://go.microsoft.com/fwlink/?linkid=870924
Comment:
    See https://www.legislation.govt.nz/regulation/public/2009/0286/latest/DLM2378520.html for emissions factors</t>
      </text>
    </comment>
    <comment ref="I35" authorId="30" shapeId="0" xr:uid="{2400E68C-6886-4D45-9C33-BF798587312F}">
      <text>
        <t>[Threaded comment]
Your version of Excel allows you to read this threaded comment; however, any edits to it will get removed if the file is opened in a newer version of Excel. Learn more: https://go.microsoft.com/fwlink/?linkid=870924
Comment:
    kg/l
value taken from fuel properties tab of MBIE oil statistics spreadsheet published here: https://www.mbie.govt.nz/building-and-energy/energy-and-natural-resources/energy-statistics-and-modelling/energy-statistics/oil-statistics/</t>
      </text>
    </comment>
    <comment ref="K35" authorId="31" shapeId="0" xr:uid="{E7595C26-4877-4F80-B3AC-756C1ED1874C}">
      <text>
        <t>[Threaded comment]
Your version of Excel allows you to read this threaded comment; however, any edits to it will get removed if the file is opened in a newer version of Excel. Learn more: https://go.microsoft.com/fwlink/?linkid=870924
Comment:
    kg/l
value taken from fuel properties tab of MBIE oil statistics spreadsheet published here: https://www.mbie.govt.nz/building-and-energy/energy-and-natural-resources/energy-statistics-and-modelling/energy-statistics/oil-statistics/</t>
      </text>
    </comment>
    <comment ref="L35" authorId="32" shapeId="0" xr:uid="{1BC60EA3-ACA5-4288-A799-9ED9A8FBF80E}">
      <text>
        <t>[Threaded comment]
Your version of Excel allows you to read this threaded comment; however, any edits to it will get removed if the file is opened in a newer version of Excel. Learn more: https://go.microsoft.com/fwlink/?linkid=870924
Comment:
    kg/l
value taken from fuel properties tab of MBIE oil statistics spreadsheet published here: https://www.mbie.govt.nz/building-and-energy/energy-and-natural-resources/energy-statistics-and-modelling/energy-statistics/oil-statistics/</t>
      </text>
    </comment>
    <comment ref="I36" authorId="33" shapeId="0" xr:uid="{3CDDA445-7A5E-4E88-BB93-AE1FB97532D0}">
      <text>
        <t>[Threaded comment]
Your version of Excel allows you to read this threaded comment; however, any edits to it will get removed if the file is opened in a newer version of Excel. Learn more: https://go.microsoft.com/fwlink/?linkid=870924
Comment:
    MJ/kg 
value taken from fuel properties tab of MBIE oil statistics spreadsheet published here: https://www.mbie.govt.nz/building-and-energy/energy-and-natural-resources/energy-statistics-and-modelling/energy-statistics/oil-statistics/</t>
      </text>
    </comment>
    <comment ref="K36" authorId="34" shapeId="0" xr:uid="{4D219F26-EEE5-4708-A4F8-788CF5F7C1E2}">
      <text>
        <t>[Threaded comment]
Your version of Excel allows you to read this threaded comment; however, any edits to it will get removed if the file is opened in a newer version of Excel. Learn more: https://go.microsoft.com/fwlink/?linkid=870924
Comment:
    MJ/kg 
value taken from fuel properties tab of MBIE oil statistics spreadsheet published here: https://www.mbie.govt.nz/building-and-energy/energy-and-natural-resources/energy-statistics-and-modelling/energy-statistics/oil-statistics/</t>
      </text>
    </comment>
    <comment ref="L36" authorId="35" shapeId="0" xr:uid="{B8501A18-9A4E-41B8-87D9-C9E03A2907F5}">
      <text>
        <t>[Threaded comment]
Your version of Excel allows you to read this threaded comment; however, any edits to it will get removed if the file is opened in a newer version of Excel. Learn more: https://go.microsoft.com/fwlink/?linkid=870924
Comment:
    MJ/kg 
value taken from fuel properties tab of MBIE oil statistics spreadsheet published here: https://www.mbie.govt.nz/building-and-energy/energy-and-natural-resources/energy-statistics-and-modelling/energy-statistics/oil-statistics/</t>
      </text>
    </comment>
    <comment ref="A38" authorId="36" shapeId="0" xr:uid="{71100D02-9151-485F-8F7B-DF53917F0D32}">
      <text>
        <t>[Threaded comment]
Your version of Excel allows you to read this threaded comment; however, any edits to it will get removed if the file is opened in a newer version of Excel. Learn more: https://go.microsoft.com/fwlink/?linkid=870924
Comment:
    Used to enable fuel emissions to be expressed on a common tCO2/GJ basis</t>
      </text>
    </comment>
    <comment ref="I38" authorId="37" shapeId="0" xr:uid="{14738670-12BC-410C-BAAD-CD3E7D7679F7}">
      <text>
        <t>[Threaded comment]
Your version of Excel allows you to read this threaded comment; however, any edits to it will get removed if the file is opened in a newer version of Excel. Learn more: https://go.microsoft.com/fwlink/?linkid=870924
Comment:
    =kg/l * MJ/kg / 1000</t>
      </text>
    </comment>
    <comment ref="J38" authorId="38" shapeId="0" xr:uid="{4EFF95AD-E8B9-45FA-B2C2-00A712F4E417}">
      <text>
        <t>[Threaded comment]
Your version of Excel allows you to read this threaded comment; however, any edits to it will get removed if the file is opened in a newer version of Excel. Learn more: https://go.microsoft.com/fwlink/?linkid=870924
Comment:
    Assuming a 60:40 Propane/Butane mix, and HHV GJ/t values of 50.35 and 49.5, respectively (which were sourced from http://en.wikipedia.org/wiki/Heat_of_combustion)</t>
      </text>
    </comment>
    <comment ref="K38" authorId="39" shapeId="0" xr:uid="{9FEB18BC-9E43-493E-86A8-005A59D82931}">
      <text>
        <t>[Threaded comment]
Your version of Excel allows you to read this threaded comment; however, any edits to it will get removed if the file is opened in a newer version of Excel. Learn more: https://go.microsoft.com/fwlink/?linkid=870924
Comment:
    =kg/l * MJ/kg / 1000</t>
      </text>
    </comment>
    <comment ref="L38" authorId="40" shapeId="0" xr:uid="{C607C44D-4748-415A-8776-923824CD972B}">
      <text>
        <t>[Threaded comment]
Your version of Excel allows you to read this threaded comment; however, any edits to it will get removed if the file is opened in a newer version of Excel. Learn more: https://go.microsoft.com/fwlink/?linkid=870924
Comment:
    =kg/l * MJ/kg / 1000</t>
      </text>
    </comment>
    <comment ref="A41" authorId="41" shapeId="0" xr:uid="{CA4F80B5-ADC5-4BCF-8457-DA766F65BE55}">
      <text>
        <t>[Threaded comment]
Your version of Excel allows you to read this threaded comment; however, any edits to it will get removed if the file is opened in a newer version of Excel. Learn more: https://go.microsoft.com/fwlink/?linkid=870924
Comment:
    Because users can specify their fuel consumption in different units, these factors are used as lookup-values for whatever unit the user specifies in order to calculate the ETS costs from consuming the different fuels, plus the emissions associated with consumption of the different fuels</t>
      </text>
    </comment>
    <comment ref="J48" authorId="42" shapeId="0" xr:uid="{AC907ABC-1FE1-4B01-8803-D5B5988888C2}">
      <text>
        <t>[Threaded comment]
Your version of Excel allows you to read this threaded comment; however, any edits to it will get removed if the file is opened in a newer version of Excel. Learn more: https://go.microsoft.com/fwlink/?linkid=870924
Comment:
    0.534 kg/l of LPG taken from Fuel_properties tab of MBIE oil statistics published here: https://www.mbie.govt.nz/building-and-energy/energy-and-natural-resources/energy-statistics-and-modelling/energy-statistics/oil-statistics/</t>
      </text>
    </comment>
    <comment ref="F57" authorId="43" shapeId="0" xr:uid="{A95A72BF-6FB1-4AC4-ADC3-829ADE0E3577}">
      <text>
        <t>[Threaded comment]
Your version of Excel allows you to read this threaded comment; however, any edits to it will get removed if the file is opened in a newer version of Excel. Learn more: https://go.microsoft.com/fwlink/?linkid=870924
Comment:
    Present value of difference in capex projections between Preferred Project and Base Case, using public pre-tax, real discount rate of 5%</t>
      </text>
    </comment>
    <comment ref="C64" authorId="44" shapeId="0" xr:uid="{76095100-778C-4AE8-9217-F645144EB62F}">
      <text>
        <t>[Threaded comment]
Your version of Excel allows you to read this threaded comment; however, any edits to it will get removed if the file is opened in a newer version of Excel. Learn more: https://go.microsoft.com/fwlink/?linkid=870924
Comment:
    The end of the second emissions budget period</t>
      </text>
    </comment>
    <comment ref="A69" authorId="45" shapeId="0" xr:uid="{7096C39F-20DA-4BAD-84EF-53FA9621CC17}">
      <text>
        <t>[Threaded comment]
Your version of Excel allows you to read this threaded comment; however, any edits to it will get removed if the file is opened in a newer version of Excel. Learn more: https://go.microsoft.com/fwlink/?linkid=870924
Comment:
    Discounted using public sector pre-tax, real discount rate of 5%</t>
      </text>
    </comment>
    <comment ref="A70" authorId="46" shapeId="0" xr:uid="{454DB44C-304C-4E49-874A-B26DA0366E56}">
      <text>
        <t>[Threaded comment]
Your version of Excel allows you to read this threaded comment; however, any edits to it will get removed if the file is opened in a newer version of Excel. Learn more: https://go.microsoft.com/fwlink/?linkid=870924
Comment:
    Net present value calculated using public sector pre-tax, real discount rate of 5%</t>
      </text>
    </comment>
    <comment ref="A71" authorId="47" shapeId="0" xr:uid="{1AFE8E3C-FA1A-4FCF-9D3F-8356CD5A505F}">
      <text>
        <t>[Threaded comment]
Your version of Excel allows you to read this threaded comment; however, any edits to it will get removed if the file is opened in a newer version of Excel. Learn more: https://go.microsoft.com/fwlink/?linkid=870924
Comment:
    This represents the abatement cost to 'NZ Inc'.  It is based on the discounted future costs of the project (on a real basis over the stated useful life of the project), divided by the discounted future emissions savings of the project, all using a public sector real pre-tax discount rate of 5%.
If the project has an IRR on a real basis (ie, not nominal) excluding GIDI funding and excluding ETS costs which is greater than this 5% discount rate, the abatement cost will be negative.</t>
      </text>
    </comment>
    <comment ref="B72" authorId="48" shapeId="0" xr:uid="{FDE0A1FC-8BD6-4BFC-8D64-A7717B92BD1E}">
      <text>
        <t>[Threaded comment]
Your version of Excel allows you to read this threaded comment; however, any edits to it will get removed if the file is opened in a newer version of Excel. Learn more: https://go.microsoft.com/fwlink/?linkid=870924
Comment:
    If a project has an abatement cost greater than this value, it would not be appropriate for receipt of public funding.
The Shadow_Fac factor takes the shadow carbon price projection from Treasury in 2021$, and factors it to be in the Real year specified by the applicant (or the start year of the projection if the applicant has specified projections in nominal terms)</t>
      </text>
    </comment>
    <comment ref="C72" authorId="49" shapeId="0" xr:uid="{8870C859-73BA-41BB-BF62-5A368D746DF1}">
      <text>
        <t>[Threaded comment]
Your version of Excel allows you to read this threaded comment; however, any edits to it will get removed if the file is opened in a newer version of Excel. Learn more: https://go.microsoft.com/fwlink/?linkid=870924
Comment:
    If a project has an abatement cost greater than this value, it would not be appropriate for receipt of public funding.
The Shadow_Fac factor takes the shadow carbon price projection from Treasury in 2021$, and factors it to be in the Real year specified by the applicant (or the start year of the projection if the applicant has specified projections in nominal terms)</t>
      </text>
    </comment>
    <comment ref="A73" authorId="50" shapeId="0" xr:uid="{0914EDB7-88D9-4BE4-8FBD-7F536D46574E}">
      <text>
        <t>[Threaded comment]
Your version of Excel allows you to read this threaded comment; however, any edits to it will get removed if the file is opened in a newer version of Excel. Learn more: https://go.microsoft.com/fwlink/?linkid=870924
Comment:
    Equals the requested GIDI funding, divided by the discounted emissions reductions over the lifetime of the project, using the public sector 5% real discount rate.
This has been updated to use the PV of the GIDI funding to adjust for the delay involved in extended projects.</t>
      </text>
    </comment>
    <comment ref="D78" authorId="51" shapeId="0" xr:uid="{BD65A14C-5053-4E8E-A724-13048534651E}">
      <text>
        <t>[Threaded comment]
Your version of Excel allows you to read this threaded comment; however, any edits to it will get removed if the file is opened in a newer version of Excel. Learn more: https://go.microsoft.com/fwlink/?linkid=870924
Comment:
    Score using abatement cost over project lifetime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tc={03699B24-E524-4802-BDBC-DF5BD0CA29B9}</author>
    <author>tc={BD67374D-FEFE-41C1-9353-8756A1265818}</author>
    <author>tc={3408FED5-C194-4D4D-8169-1E96BF841AD3}</author>
    <author>tc={6A454D15-6B69-4E5A-AD6D-44AEFBB64B85}</author>
    <author>tc={CB631807-C6C4-47C7-9ACF-CA3B9EF52D60}</author>
    <author>tc={B9AF2D1D-972B-4DE6-A555-F6E8C5316E0E}</author>
    <author>tc={33B36AF4-3ED0-40A6-A802-299DCBFC8599}</author>
    <author>tc={97D553CE-F153-4631-A52B-6D6939F1B54D}</author>
    <author>tc={42FD01F6-1D5F-457B-B422-84D974887BC2}</author>
    <author>tc={8F69ACF3-84D5-4517-8DE5-D9B298BA93CF}</author>
    <author>tc={3E548830-D992-4A97-BA6D-F921C9AB79CC}</author>
    <author>tc={8B0BCC64-F421-46F8-A14D-17148048B716}</author>
    <author>tc={06F38208-FD0C-4E05-83A1-59AA08039175}</author>
    <author>tc={713ECD92-5B58-4D65-9923-D0A55B115AF5}</author>
    <author>tc={F1B124DA-993D-45CF-90FD-928DA5EE9490}</author>
    <author>tc={BD01863E-F870-448F-B4E6-F13AC6A3B8C2}</author>
    <author>tc={76916C2C-20BE-43D4-A258-6BD30DF91DAC}</author>
    <author>tc={01A73A11-2964-40EF-920B-96E4619EC714}</author>
    <author>tc={3672E0F7-CB75-4A1F-8F64-FE0F03C2ECD1}</author>
    <author>tc={22A31F68-888A-474B-9392-82B36A167250}</author>
    <author>tc={92802B05-D5B9-4122-B0BD-7091F6869844}</author>
    <author>tc={7E3EFE7D-E628-405E-B1C6-D81B14D99BE6}</author>
  </authors>
  <commentList>
    <comment ref="E3" authorId="0" shapeId="0" xr:uid="{03699B24-E524-4802-BDBC-DF5BD0CA29B9}">
      <text>
        <t>[Threaded comment]
Your version of Excel allows you to read this threaded comment; however, any edits to it will get removed if the file is opened in a newer version of Excel. Learn more: https://go.microsoft.com/fwlink/?linkid=870924
Comment:
    Used for calculating the abatement cost</t>
      </text>
    </comment>
    <comment ref="D6" authorId="1" shapeId="0" xr:uid="{BD67374D-FEFE-41C1-9353-8756A1265818}">
      <text>
        <t>[Threaded comment]
Your version of Excel allows you to read this threaded comment; however, any edits to it will get removed if the file is opened in a newer version of Excel. Learn more: https://go.microsoft.com/fwlink/?linkid=870924
Comment:
    DO NOT include your requested GIDI funding contribution</t>
      </text>
    </comment>
    <comment ref="E6" authorId="2" shapeId="0" xr:uid="{3408FED5-C194-4D4D-8169-1E96BF841AD3}">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17" authorId="3" shapeId="0" xr:uid="{6A454D15-6B69-4E5A-AD6D-44AEFBB64B85}">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31" authorId="4" shapeId="0" xr:uid="{CB631807-C6C4-47C7-9ACF-CA3B9EF52D60}">
      <text>
        <t>[Threaded comment]
Your version of Excel allows you to read this threaded comment; however, any edits to it will get removed if the file is opened in a newer version of Excel. Learn more: https://go.microsoft.com/fwlink/?linkid=870924
Comment:
    Labour, maintenance, etc.
Do not include any costs associated with the supply of fuel (gas, electricity, coal, etc).  Fuel costs are to be entered in section 2b) below. 
Also do not include financing costs such as interest on loans, tax, or depreciation.  All cashflows should be before interest, tax, and depreciation.</t>
      </text>
    </comment>
    <comment ref="E32" authorId="5" shapeId="0" xr:uid="{B9AF2D1D-972B-4DE6-A555-F6E8C5316E0E}">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41" authorId="6" shapeId="0" xr:uid="{33B36AF4-3ED0-40A6-A802-299DCBFC8599}">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52" authorId="7" shapeId="0" xr:uid="{97D553CE-F153-4631-A52B-6D6939F1B54D}">
      <text>
        <t>[Threaded comment]
Your version of Excel allows you to read this threaded comment; however, any edits to it will get removed if the file is opened in a newer version of Excel. Learn more: https://go.microsoft.com/fwlink/?linkid=870924
Comment:
    'Fuel' includes any electricity supply costs (energy and network)
Do not include the expected increased cost of fuel due to the price of carbon in the ETS.  This will be calculated automatically based on the quantity of fuel consumed you project in section 3), combined with your expectations of future ETS carbon prices you input in section C) in the In_Out sheet.
Use the drop-down menu to specify the type of fuel cost. Eg, 'LPG', 'Electricity - Network only', etc.
Do not type different values, and do not leave a cell blank - i.e. leave as '&lt;Select&gt;' if there is no entry to make</t>
      </text>
    </comment>
    <comment ref="E53" authorId="8" shapeId="0" xr:uid="{42FD01F6-1D5F-457B-B422-84D974887BC2}">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62" authorId="9" shapeId="0" xr:uid="{8F69ACF3-84D5-4517-8DE5-D9B298BA93CF}">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73" authorId="10" shapeId="0" xr:uid="{3E548830-D992-4A97-BA6D-F921C9AB79CC}">
      <text>
        <t>[Threaded comment]
Your version of Excel allows you to read this threaded comment; however, any edits to it will get removed if the file is opened in a newer version of Excel. Learn more: https://go.microsoft.com/fwlink/?linkid=870924
Comment:
    This section calculates the increase in fuel costs due to a price of CO2 in the ETS.  
This uses your projection of expected ETS prices entered in section C) of the In_Out sheet, multiplied by your projection of energy consumption and factored by the emissions factor (EF) of the fuel.  This emissions factor for each fuel is specified by the Ministry for the Environment and shown in section [E)] of the In_Out sheet.  Section E also allows for specific emissions factors to be used in the case of coal and geothermal.</t>
      </text>
    </comment>
    <comment ref="E74" authorId="11" shapeId="0" xr:uid="{8B0BCC64-F421-46F8-A14D-17148048B716}">
      <text>
        <t>[Threaded comment]
Your version of Excel allows you to read this threaded comment; however, any edits to it will get removed if the file is opened in a newer version of Excel. Learn more: https://go.microsoft.com/fwlink/?linkid=870924
Comment:
    The emission factor is specified in the units you have specified in section 3) below.</t>
      </text>
    </comment>
    <comment ref="C97" authorId="12" shapeId="0" xr:uid="{06F38208-FD0C-4E05-83A1-59AA08039175}">
      <text>
        <t>[Threaded comment]
Your version of Excel allows you to read this threaded comment; however, any edits to it will get removed if the file is opened in a newer version of Excel. Learn more: https://go.microsoft.com/fwlink/?linkid=870924
Comment:
    Use the drop-down menu to specify the units of the fuel projection. Eg, GJ, kg, kWh, litre.
Do not type different values, and do not leave a cell blank - i.e. leave as '&lt;Select&gt;' if there is no entry to make</t>
      </text>
    </comment>
    <comment ref="D97" authorId="13" shapeId="0" xr:uid="{713ECD92-5B58-4D65-9923-D0A55B115AF5}">
      <text>
        <t>[Threaded comment]
Your version of Excel allows you to read this threaded comment; however, any edits to it will get removed if the file is opened in a newer version of Excel. Learn more: https://go.microsoft.com/fwlink/?linkid=870924
Comment:
    Use the drop-down menu to specify the type of fuel. Eg, Natural gas, LPG, etc.
Do not type different values, and do not leave a cell blank - i.e. leave as '&lt;Select&gt;' if there is no entry to make</t>
      </text>
    </comment>
    <comment ref="B98" authorId="14" shapeId="0" xr:uid="{F1B124DA-993D-45CF-90FD-928DA5EE9490}">
      <text>
        <t>[Threaded comment]
Your version of Excel allows you to read this threaded comment; however, any edits to it will get removed if the file is opened in a newer version of Excel. Learn more: https://go.microsoft.com/fwlink/?linkid=870924
Comment:
    Functionality to check that the correct unit types have been entered for the fuels</t>
      </text>
    </comment>
    <comment ref="E98" authorId="15" shapeId="0" xr:uid="{BD01863E-F870-448F-B4E6-F13AC6A3B8C2}">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105" authorId="16" shapeId="0" xr:uid="{76916C2C-20BE-43D4-A258-6BD30DF91DAC}">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114" authorId="17" shapeId="0" xr:uid="{01A73A11-2964-40EF-920B-96E4619EC714}">
      <text>
        <t>[Threaded comment]
Your version of Excel allows you to read this threaded comment; however, any edits to it will get removed if the file is opened in a newer version of Excel. Learn more: https://go.microsoft.com/fwlink/?linkid=870924
Comment:
    This area is used to calculate the financial performance of the Project (ie, IRR and payback) under different bases.</t>
      </text>
    </comment>
    <comment ref="D130" authorId="18" shapeId="0" xr:uid="{3672E0F7-CB75-4A1F-8F64-FE0F03C2ECD1}">
      <text>
        <t>[Threaded comment]
Your version of Excel allows you to read this threaded comment; however, any edits to it will get removed if the file is opened in a newer version of Excel. Learn more: https://go.microsoft.com/fwlink/?linkid=870924
Comment:
    Assume timing of receipt of GIDI funding is proportional to timing of capex cashflows.  If the approach is taken where GIDI funding is assumed to be given at the start, it can deliver some very funny IRR values for projects where the majority of the capex is in year 2 or beyond</t>
      </text>
    </comment>
    <comment ref="D146" authorId="19" shapeId="0" xr:uid="{22A31F68-888A-474B-9392-82B36A167250}">
      <text>
        <t>[Threaded comment]
Your version of Excel allows you to read this threaded comment; however, any edits to it will get removed if the file is opened in a newer version of Excel. Learn more: https://go.microsoft.com/fwlink/?linkid=870924
Comment:
    This checks whether, if you have made an entry for 'LPG', say, in the 2b) Fuel opex section, you also have entries in the 3) Energy Consumption section.</t>
      </text>
    </comment>
    <comment ref="D149" authorId="20" shapeId="0" xr:uid="{92802B05-D5B9-4122-B0BD-7091F6869844}">
      <text>
        <t>[Threaded comment]
Your version of Excel allows you to read this threaded comment; however, any edits to it will get removed if the file is opened in a newer version of Excel. Learn more: https://go.microsoft.com/fwlink/?linkid=870924
Comment:
    This enables sanity checking of whether the implied fuel price is the same in the Preferred Project and the Base Case situation - if the fuel is used in both situations.</t>
      </text>
    </comment>
    <comment ref="D170" authorId="21" shapeId="0" xr:uid="{7E3EFE7D-E628-405E-B1C6-D81B14D99BE6}">
      <text>
        <t>[Threaded comment]
Your version of Excel allows you to read this threaded comment; however, any edits to it will get removed if the file is opened in a newer version of Excel. Learn more: https://go.microsoft.com/fwlink/?linkid=870924
Comment:
    This checks whether the first nonzero abatement matches the year of the anticipated commissioning date stated in the In_Out sheet. Please note that part-year abatements should be used when the commissioning date falls within the commissioning year.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tc={7B3C3AF3-3D3E-4604-A954-6B88206969F4}</author>
    <author>tc={638F02DD-678B-4BE9-A189-CC7996CA4D81}</author>
    <author>tc={8DD7371A-5E6C-48E3-AD34-C361D4ACE500}</author>
    <author>tc={B703E1DB-7818-4794-8182-D72C1F8632F3}</author>
    <author>tc={05A8D60E-6CC3-4456-A999-C9AD75D261FD}</author>
    <author>tc={453F4FB3-FA4A-46CD-813F-726C0735E738}</author>
    <author>tc={4D76DFBD-9986-4623-867B-E45122C04262}</author>
    <author>tc={1BE31485-1F04-4B1E-8C5B-2B8E6D1DBA82}</author>
    <author>tc={CAE581B0-5EDE-4F18-A6B5-4454A9939514}</author>
    <author>tc={6133D374-6A70-43FE-9141-9BE3BBAD582F}</author>
    <author>tc={66099CD0-5F2E-482C-B656-4115839044BA}</author>
    <author>tc={9668616B-5E7E-4230-8520-1A3DC70215B0}</author>
    <author>tc={900098A4-6671-4DD5-BBF0-4A62D1B672B1}</author>
    <author>tc={637B23DE-8267-4BE8-AC3A-229709D03ECE}</author>
    <author>tc={BD2BBD0C-75BB-4E69-A398-05D1F7A497CE}</author>
    <author>tc={8F5AAD07-4061-49D4-9625-5127CF45149A}</author>
    <author>tc={951CB606-40CA-4426-85EA-27D2D2255D30}</author>
  </authors>
  <commentList>
    <comment ref="B90" authorId="0" shapeId="0" xr:uid="{7B3C3AF3-3D3E-4604-A954-6B88206969F4}">
      <text>
        <t>[Threaded comment]
Your version of Excel allows you to read this threaded comment; however, any edits to it will get removed if the file is opened in a newer version of Excel. Learn more: https://go.microsoft.com/fwlink/?linkid=870924
Comment:
    Public sector, real, pre-tax</t>
      </text>
    </comment>
    <comment ref="B93" authorId="1" shapeId="0" xr:uid="{638F02DD-678B-4BE9-A189-CC7996CA4D81}">
      <text>
        <t>[Threaded comment]
Your version of Excel allows you to read this threaded comment; however, any edits to it will get removed if the file is opened in a newer version of Excel. Learn more: https://go.microsoft.com/fwlink/?linkid=870924
Comment:
    Estimated upper bound for real, pre-tax WACC</t>
      </text>
    </comment>
    <comment ref="C95" authorId="2" shapeId="0" xr:uid="{8DD7371A-5E6C-48E3-AD34-C361D4ACE500}">
      <text>
        <t>[Threaded comment]
Your version of Excel allows you to read this threaded comment; however, any edits to it will get removed if the file is opened in a newer version of Excel. Learn more: https://go.microsoft.com/fwlink/?linkid=870924
Comment:
    Maximum life over which projects will be evaluated</t>
      </text>
    </comment>
    <comment ref="C146" authorId="3" shapeId="0" xr:uid="{B703E1DB-7818-4794-8182-D72C1F8632F3}">
      <text>
        <t>[Threaded comment]
Your version of Excel allows you to read this threaded comment; however, any edits to it will get removed if the file is opened in a newer version of Excel. Learn more: https://go.microsoft.com/fwlink/?linkid=870924
Comment:
    Source: https://www.treasury.govt.nz/sites/default/files/2021-09/cbax-guide-sep21.pdf
Reply:
    Green figures updated from file:///C:/Users/smartv/Downloads/cbax-guide-oct22.pdf on 7/11/2022
Reply:
    Added High and Low shadow price timeseries, also from the Oct 22 CBAx guide (still appears to be the latest) on 26/6/2023</t>
      </text>
    </comment>
    <comment ref="E149" authorId="4" shapeId="0" xr:uid="{05A8D60E-6CC3-4456-A999-C9AD75D261FD}">
      <text>
        <t>[Threaded comment]
Your version of Excel allows you to read this threaded comment; however, any edits to it will get removed if the file is opened in a newer version of Excel. Learn more: https://go.microsoft.com/fwlink/?linkid=870924
Comment:
    https://environment.govt.nz/news/release-of-updates-to-nz-ets-regulations-and-sgg-levy/
These follow the CCC recommendations that the Government increase the cost containment reserve trigger price for NZ ETS auctions to $70 “at the first possible opportunity and then every year by at least 10% plus inflation". At the same time, the CCC also recommended the auction reserve trigger price (which essentially acts as a floor price for the NZ ETS auctions) be increased to $30 as soon as possible and then increased further annually by 5% plus inflation.</t>
      </text>
    </comment>
    <comment ref="J149" authorId="5" shapeId="0" xr:uid="{453F4FB3-FA4A-46CD-813F-726C0735E738}">
      <text>
        <t>[Threaded comment]
Your version of Excel allows you to read this threaded comment; however, any edits to it will get removed if the file is opened in a newer version of Excel. Learn more: https://go.microsoft.com/fwlink/?linkid=870924
Comment:
    Assumed inflation in setting the nominal cap and floor has been derived to be 2%</t>
      </text>
    </comment>
    <comment ref="F150" authorId="6" shapeId="0" xr:uid="{4D76DFBD-9986-4623-867B-E45122C04262}">
      <text>
        <t>[Threaded comment]
Your version of Excel allows you to read this threaded comment; however, any edits to it will get removed if the file is opened in a newer version of Excel. Learn more: https://go.microsoft.com/fwlink/?linkid=870924
Comment:
    Back-calculating the nominal rates published by MfE, it is clear they assumed 2%</t>
      </text>
    </comment>
    <comment ref="B155" authorId="7" shapeId="0" xr:uid="{1BE31485-1F04-4B1E-8C5B-2B8E6D1DBA82}">
      <text>
        <t>[Threaded comment]
Your version of Excel allows you to read this threaded comment; however, any edits to it will get removed if the file is opened in a newer version of Excel. Learn more: https://go.microsoft.com/fwlink/?linkid=870924
Comment:
    Historical and forecast CPI from Tab 2.13 here: https://www.rbnz.govt.nz/monetary-policy/monetary-policy-statement</t>
      </text>
    </comment>
    <comment ref="R155" authorId="8" shapeId="0" xr:uid="{CAE581B0-5EDE-4F18-A6B5-4454A9939514}">
      <text>
        <t>[Threaded comment]
Your version of Excel allows you to read this threaded comment; however, any edits to it will get removed if the file is opened in a newer version of Excel. Learn more: https://go.microsoft.com/fwlink/?linkid=870924
Comment:
    First quarter 2025 is stated to be 2% in RBNZ data.  Assume this long-term rate continues beyond then
Reply:
    Updated values (2022-2025) based on MPS August 2023. 2% assumption carries on from Q1 2026.</t>
      </text>
    </comment>
    <comment ref="F173" authorId="9" shapeId="0" xr:uid="{6133D374-6A70-43FE-9141-9BE3BBAD582F}">
      <text>
        <t>[Threaded comment]
Your version of Excel allows you to read this threaded comment; however, any edits to it will get removed if the file is opened in a newer version of Excel. Learn more: https://go.microsoft.com/fwlink/?linkid=870924
Comment:
    Different lengths of time may be due to equipment having a certain economic life, or due to a project simply bringing forward expenditure that would happen anyway by a certain length of time</t>
      </text>
    </comment>
    <comment ref="C188" authorId="10" shapeId="0" xr:uid="{66099CD0-5F2E-482C-B656-4115839044BA}">
      <text>
        <t>[Threaded comment]
Your version of Excel allows you to read this threaded comment; however, any edits to it will get removed if the file is opened in a newer version of Excel. Learn more: https://go.microsoft.com/fwlink/?linkid=870924
Comment:
    https://www.pwc.co.nz/pdfs/2019pdfs/cost-of-capital-report-1.pdf</t>
      </text>
    </comment>
    <comment ref="E188" authorId="11" shapeId="0" xr:uid="{9668616B-5E7E-4230-8520-1A3DC70215B0}">
      <text>
        <t>[Threaded comment]
Your version of Excel allows you to read this threaded comment; however, any edits to it will get removed if the file is opened in a newer version of Excel. Learn more: https://go.microsoft.com/fwlink/?linkid=870924
Comment:
    Values changed till get calculated post-tax nominal WACC close to the reported values</t>
      </text>
    </comment>
    <comment ref="F188" authorId="12" shapeId="0" xr:uid="{900098A4-6671-4DD5-BBF0-4A62D1B672B1}">
      <text>
        <t>[Threaded comment]
Your version of Excel allows you to read this threaded comment; however, any edits to it will get removed if the file is opened in a newer version of Excel. Learn more: https://go.microsoft.com/fwlink/?linkid=870924
Comment:
    https://www.google.com/url?sa=t&amp;rct=j&amp;q=&amp;esrc=s&amp;source=web&amp;cd=&amp;cad=rja&amp;uact=8&amp;ved=2ahUKEwi2tZe11IX4AhXyTmwGHeDMA20QFnoECAsQAw&amp;url=https%3A%2F%2Fwww.aer.gov.au%2Fsystem%2Ffiles%2FAppendix%2520B%2520WACC%2520-%2520Access%2520Arrangement%2520Information%2520-%252011%2520November%25201999.doc%23%3A~%3Atext%3D4.1%2520Conversion%2520of%2520Nominal%2520Post%2Cto%2520Real%2520Pre%252DTax%2520WACC%26text%3DOne%2520is%2520to%2520gross%2520up%2Cusing%2520an%2520estimated%2520inflation%2520rate.&amp;usg=AOvVaw2dHCGy7LwudGJQKG4s6fx5</t>
      </text>
    </comment>
    <comment ref="I188" authorId="13" shapeId="0" xr:uid="{637B23DE-8267-4BE8-AC3A-229709D03ECE}">
      <text>
        <t>[Threaded comment]
Your version of Excel allows you to read this threaded comment; however, any edits to it will get removed if the file is opened in a newer version of Excel. Learn more: https://go.microsoft.com/fwlink/?linkid=870924
Comment:
    https://www.pwc.co.nz/pdfs/2019pdfs/cost-of-capital-report-1.pdf</t>
      </text>
    </comment>
    <comment ref="C196" authorId="14" shapeId="0" xr:uid="{BD2BBD0C-75BB-4E69-A398-05D1F7A497CE}">
      <text>
        <t>[Threaded comment]
Your version of Excel allows you to read this threaded comment; however, any edits to it will get removed if the file is opened in a newer version of Excel. Learn more: https://go.microsoft.com/fwlink/?linkid=870924
Comment:
    This top row is used for a lookup function which search for items less than or equal to in the array from the top row to the bottom row in this table</t>
      </text>
    </comment>
    <comment ref="B202" authorId="15" shapeId="0" xr:uid="{8F5AAD07-4061-49D4-9625-5127CF45149A}">
      <text>
        <t>[Threaded comment]
Your version of Excel allows you to read this threaded comment; however, any edits to it will get removed if the file is opened in a newer version of Excel. Learn more: https://go.microsoft.com/fwlink/?linkid=870924
Comment:
    This is common text used in two different message areas</t>
      </text>
    </comment>
    <comment ref="C204" authorId="16" shapeId="0" xr:uid="{951CB606-40CA-4426-85EA-27D2D2255D30}">
      <text>
        <t>[Threaded comment]
Your version of Excel allows you to read this threaded comment; however, any edits to it will get removed if the file is opened in a newer version of Excel. Learn more: https://go.microsoft.com/fwlink/?linkid=870924
Comment:
    Projects with post-GIDI paybacks superior to this will not receive GIDI funding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<sst xmlns="http://schemas.openxmlformats.org/spreadsheetml/2006/main" count="595" uniqueCount="355">
  <si>
    <t>This spreadsheet is for the applicant to fill in information about the 'Preferred project' (ie, the project for which GIDI funds are sought) and also a 'Base Case' (ie, the outcomes if the project were not to proceed).</t>
  </si>
  <si>
    <t>For example, the Preferred Project could be the replacement of a coal-fired boiler with a biomass boiler, whereas the Base Case could be the coal-fired boiler continuing to operate.</t>
  </si>
  <si>
    <t>The spreadsheet consists of three tabs:</t>
  </si>
  <si>
    <r>
      <rPr>
        <b/>
        <i/>
        <sz val="11"/>
        <color theme="1"/>
        <rFont val="Calibri"/>
        <family val="2"/>
      </rPr>
      <t>In_Out</t>
    </r>
    <r>
      <rPr>
        <sz val="11"/>
        <color theme="1"/>
        <rFont val="Calibri"/>
        <family val="2"/>
        <scheme val="minor"/>
      </rPr>
      <t>.  This has some input cells for applicants to fill in, as well as producing resultant outputs in terms of the financial performance and emissions abatement cost of the Preferred Project.</t>
    </r>
  </si>
  <si>
    <r>
      <rPr>
        <b/>
        <i/>
        <sz val="11"/>
        <color theme="1"/>
        <rFont val="Calibri"/>
        <family val="2"/>
      </rPr>
      <t>Cashflow</t>
    </r>
    <r>
      <rPr>
        <sz val="11"/>
        <color theme="1"/>
        <rFont val="Calibri"/>
        <family val="2"/>
        <scheme val="minor"/>
      </rPr>
      <t>.  This is the main tab for the applicant to fill in projected Capex and Opex cashflows for the Preferred Project and the Base Case, as well as projected fuel consumption for both situations.</t>
    </r>
  </si>
  <si>
    <r>
      <rPr>
        <b/>
        <i/>
        <sz val="11"/>
        <color theme="1"/>
        <rFont val="Calibri"/>
        <family val="2"/>
      </rPr>
      <t>Scratch</t>
    </r>
    <r>
      <rPr>
        <sz val="11"/>
        <color theme="1"/>
        <rFont val="Calibri"/>
        <family val="2"/>
        <scheme val="minor"/>
      </rPr>
      <t>.  This is a tab which applicants can use if they wish to do their own bespoke calculations - noting that the rest of the spreadsheet is 'locked-down' to enable EECA to extract and evaluate data in a rigorous fashion.</t>
    </r>
  </si>
  <si>
    <r>
      <t>Enter all values as positive numbers</t>
    </r>
    <r>
      <rPr>
        <sz val="11"/>
        <rFont val="Calibri"/>
        <family val="2"/>
      </rPr>
      <t>, except if a cashflow item represents a revenue</t>
    </r>
    <r>
      <rPr>
        <sz val="11"/>
        <rFont val="Calibri"/>
        <family val="2"/>
        <scheme val="minor"/>
      </rPr>
      <t>.  All financial values should be in NZ$, exclusive of GST.  Please ensure Excel Workbook Calculation is set to automatic, otherwise some formulae may not calculate correctly.</t>
    </r>
  </si>
  <si>
    <t>Many of the cells in the spreadsheet have comments (indicated by a little purple symbol in the top right corner of the cell) which, when hovered over, will display more information explaining what type of information is required or providing more detail on the purpose of the information.</t>
  </si>
  <si>
    <t>In_Out tab instructions</t>
  </si>
  <si>
    <r>
      <rPr>
        <b/>
        <i/>
        <sz val="11"/>
        <color theme="1"/>
        <rFont val="Calibri"/>
        <family val="2"/>
      </rPr>
      <t xml:space="preserve">A) Project information.  </t>
    </r>
    <r>
      <rPr>
        <sz val="11"/>
        <color theme="1"/>
        <rFont val="Calibri"/>
        <family val="2"/>
        <scheme val="minor"/>
      </rPr>
      <t>Most items are self-explanatory (with cell comments to assist).</t>
    </r>
  </si>
  <si>
    <t>Cashflow tab instructions</t>
  </si>
  <si>
    <t>Applicants must fill in sections 1), 2a), 2b) and 3) relating to Capex, Opex, and Fuel Consumption projections.  The cashflow tab also automatically calculates other aspects of the project based on your entries in sections 1), 2a), 2b), and 3).  These include, carbon emissions, the effect of the ETS price on fuel costs, and the financial performance of the Preferred Project.  For usability and ease of navigation, the rows containing these calculations are initially 'Grouped' and hidden.  To expand / collapse the rows to make them visible / hide them, simply click the '+' or '-" outline symbols at the left of the row.</t>
  </si>
  <si>
    <t>1) Capital expenditure (CAPEX) and 2) Operating &amp; Maintenance Expenditure (OPEX)</t>
  </si>
  <si>
    <r>
      <t xml:space="preserve">For the </t>
    </r>
    <r>
      <rPr>
        <b/>
        <sz val="11"/>
        <color theme="1"/>
        <rFont val="Calibri"/>
        <family val="2"/>
        <scheme val="minor"/>
      </rPr>
      <t>Capex and Opex cashflow projections and the fuel projections</t>
    </r>
    <r>
      <rPr>
        <sz val="11"/>
        <color theme="1"/>
        <rFont val="Calibri"/>
        <family val="2"/>
        <scheme val="minor"/>
      </rPr>
      <t>, it is only necessary to i</t>
    </r>
    <r>
      <rPr>
        <b/>
        <sz val="11"/>
        <color theme="1"/>
        <rFont val="Calibri"/>
        <family val="2"/>
        <scheme val="minor"/>
      </rPr>
      <t>nclude those items which will change between the Preferred Project and the Base Case</t>
    </r>
    <r>
      <rPr>
        <sz val="11"/>
        <color theme="1"/>
        <rFont val="Calibri"/>
        <family val="2"/>
        <scheme val="minor"/>
      </rPr>
      <t>, as the project is evaluated on the basis to which it alters cost and fuel (and hence emissions) outcomes.  Applicants are free to include other cashflow items which won't change between the two cases if they feel it would be useful to do so.</t>
    </r>
  </si>
  <si>
    <r>
      <t xml:space="preserve">For the </t>
    </r>
    <r>
      <rPr>
        <b/>
        <sz val="11"/>
        <color theme="1"/>
        <rFont val="Calibri"/>
        <family val="2"/>
        <scheme val="minor"/>
      </rPr>
      <t>Opex projections</t>
    </r>
    <r>
      <rPr>
        <sz val="11"/>
        <color theme="1"/>
        <rFont val="Calibri"/>
        <family val="2"/>
        <scheme val="minor"/>
      </rPr>
      <t xml:space="preserve">, there is a section for </t>
    </r>
    <r>
      <rPr>
        <b/>
        <sz val="11"/>
        <color theme="1"/>
        <rFont val="Calibri"/>
        <family val="2"/>
        <scheme val="minor"/>
      </rPr>
      <t>non-fuel Opex costs</t>
    </r>
    <r>
      <rPr>
        <sz val="11"/>
        <color theme="1"/>
        <rFont val="Calibri"/>
        <family val="2"/>
        <scheme val="minor"/>
      </rPr>
      <t xml:space="preserve"> (eg, 'labour') and a section for </t>
    </r>
    <r>
      <rPr>
        <b/>
        <sz val="11"/>
        <color theme="1"/>
        <rFont val="Calibri"/>
        <family val="2"/>
        <scheme val="minor"/>
      </rPr>
      <t>fuel-related Opex costs</t>
    </r>
    <r>
      <rPr>
        <sz val="11"/>
        <color theme="1"/>
        <rFont val="Calibri"/>
        <family val="2"/>
        <scheme val="minor"/>
      </rPr>
      <t xml:space="preserve"> (eg, 'LPG', or 'Natural gas - Network costs').  These fuel-related costs requires applicants to </t>
    </r>
    <r>
      <rPr>
        <b/>
        <sz val="11"/>
        <color theme="1"/>
        <rFont val="Calibri"/>
        <family val="2"/>
        <scheme val="minor"/>
      </rPr>
      <t>select the fuel cost category using a drop-down menu,</t>
    </r>
    <r>
      <rPr>
        <sz val="11"/>
        <color theme="1"/>
        <rFont val="Calibri"/>
        <family val="2"/>
        <scheme val="minor"/>
      </rPr>
      <t xml:space="preserve"> whereas the description of the non-fuel cost items are free-form.    The use of a drop-down menu is to enable EECA to evaluate applicants' fuel-related projections on a consistent basis - noting that the altered fuel outcomes will be the means by which emissions will alter.</t>
    </r>
  </si>
  <si>
    <r>
      <t xml:space="preserve">The </t>
    </r>
    <r>
      <rPr>
        <b/>
        <sz val="11"/>
        <color theme="1"/>
        <rFont val="Calibri"/>
        <family val="2"/>
        <scheme val="minor"/>
      </rPr>
      <t>fuel-related costs should be EXCLUDING the effect of a price of carbon in the Emissions Trading Scheme (ETS) impacting fuel prices.</t>
    </r>
    <r>
      <rPr>
        <sz val="11"/>
        <color theme="1"/>
        <rFont val="Calibri"/>
        <family val="2"/>
        <scheme val="minor"/>
      </rPr>
      <t xml:space="preserve">  You do not need to include ETS expense as this is automatically calculated for you after you have entered Energy Consumption information, and using your projection of expected ETS prices plus the emissions factor for the fuel (fixed within this spreadsheet, with a few possible exceptions).    The reason for this approach is to ensure consistency between fuels, and to enable EECA to calculate the abatement cost of the Preferred Project.  
Future fuel costs should be based on your expectation of future fuel prices - noting that prices for periods beyond the time which fuel has been contracted for will inherently be uncertain.  In its evaluation of different GIDI fund requests, EECA will consider the extent to which some parties have very different expectations of future changes in price for a given fuel than other parties, and seek to 'normalise' for this effect - eg, consider applications using the average year-on-year % change in fuel prices across all GIDI applications for a given fuel, as well as use other central projections for rates of change in fuel prices.</t>
    </r>
  </si>
  <si>
    <t>3) Energy Consumption</t>
  </si>
  <si>
    <r>
      <t xml:space="preserve">When entering information on </t>
    </r>
    <r>
      <rPr>
        <b/>
        <sz val="11"/>
        <color theme="1"/>
        <rFont val="Calibri"/>
        <family val="2"/>
        <scheme val="minor"/>
      </rPr>
      <t>Energy Consumption</t>
    </r>
    <r>
      <rPr>
        <sz val="11"/>
        <color theme="1"/>
        <rFont val="Calibri"/>
        <family val="2"/>
        <scheme val="minor"/>
      </rPr>
      <t xml:space="preserve">, remember to select the correct unit of energy as this will impact the related calculated emissions. </t>
    </r>
  </si>
  <si>
    <t>If you require help in understanding how to populate this spreadsheet please contact us GIDIFund@eeca.govt.nz</t>
  </si>
  <si>
    <t>Input data</t>
  </si>
  <si>
    <t>A) Project information</t>
  </si>
  <si>
    <t>Applicant's name</t>
  </si>
  <si>
    <t>Sector</t>
  </si>
  <si>
    <t>Region</t>
  </si>
  <si>
    <t>Project name</t>
  </si>
  <si>
    <t>What is the expected useful life of the project? (Yrs)</t>
  </si>
  <si>
    <t>How much GIDI contribution are you requesting? ($)</t>
  </si>
  <si>
    <t>B) Financial projection basis</t>
  </si>
  <si>
    <t>Are your cashflow values real (ie, no inflation) or nominal (including inflation)?</t>
  </si>
  <si>
    <t>C) Expected future values for key parameters</t>
  </si>
  <si>
    <t>If your projections are in nominal terms, specify the assumed inflation for each year</t>
  </si>
  <si>
    <t>Inflation factor relative to start year</t>
  </si>
  <si>
    <t>Pre-tax IRR (%)</t>
  </si>
  <si>
    <t>E) Fuel emissions factors</t>
  </si>
  <si>
    <t>Electricity</t>
  </si>
  <si>
    <t>Wood - pellet</t>
  </si>
  <si>
    <t>Wood - hog</t>
  </si>
  <si>
    <t>Wood - chips</t>
  </si>
  <si>
    <t>Coal - bituminous</t>
  </si>
  <si>
    <t>Coal - sub bituminous</t>
  </si>
  <si>
    <t>Coal - lignite</t>
  </si>
  <si>
    <t>Diesel</t>
  </si>
  <si>
    <t>LPG</t>
  </si>
  <si>
    <t>Light fuel oil</t>
  </si>
  <si>
    <t>Heavy fuel oil</t>
  </si>
  <si>
    <t>Natural Gas</t>
  </si>
  <si>
    <t>Geothermal</t>
  </si>
  <si>
    <t>Emissions unit</t>
  </si>
  <si>
    <t>kWh</t>
  </si>
  <si>
    <t>kg</t>
  </si>
  <si>
    <t>litre</t>
  </si>
  <si>
    <t>GJ</t>
  </si>
  <si>
    <t>Default emissions factor (kgCO2-e/unit)</t>
  </si>
  <si>
    <t>n/a</t>
  </si>
  <si>
    <t>Specific conversion factors - 1</t>
  </si>
  <si>
    <t>Specific conversion factors - 2</t>
  </si>
  <si>
    <t>Default pricing unit</t>
  </si>
  <si>
    <t>Output measures</t>
  </si>
  <si>
    <t>Including ETS costs</t>
  </si>
  <si>
    <t>Project financial performance</t>
  </si>
  <si>
    <t>IRR</t>
  </si>
  <si>
    <t>Payback (yrs)</t>
  </si>
  <si>
    <t>Project capex ($k)</t>
  </si>
  <si>
    <t>Co-funding %</t>
  </si>
  <si>
    <t>cf. applicant's stated threshold</t>
  </si>
  <si>
    <t>Over project life</t>
  </si>
  <si>
    <t>Undiscounted total emissions reduction (tCO2)</t>
  </si>
  <si>
    <t>Discounted total emissions reduction (tCO2)</t>
  </si>
  <si>
    <t>Present value of increase / (decrease) in non-ETS costs ($)</t>
  </si>
  <si>
    <t>Total project abatement cost ($/tCO2)</t>
  </si>
  <si>
    <t>cf. threshold shadow carbon price ($/tCO2)</t>
  </si>
  <si>
    <t>Abatement cost to EECA ($/tCO2)</t>
  </si>
  <si>
    <t>Quantitative assessement criteria</t>
  </si>
  <si>
    <t>Value</t>
  </si>
  <si>
    <t>Co-funding ratio</t>
  </si>
  <si>
    <t>Payback Period</t>
  </si>
  <si>
    <t>Abatement cost for the public of the emissions reduction until 2030 (end of EB2)</t>
  </si>
  <si>
    <t>Speed of implementation</t>
  </si>
  <si>
    <t>Overall score</t>
  </si>
  <si>
    <t>Year</t>
  </si>
  <si>
    <t>Time period (yrs)</t>
  </si>
  <si>
    <t>1) Capital expenditure (CAPEX) ($) - please enter all costs as positive numbers</t>
  </si>
  <si>
    <t>Preferred Project (PP)</t>
  </si>
  <si>
    <t>Applicant comment</t>
  </si>
  <si>
    <t>Total Preferred Project capex</t>
  </si>
  <si>
    <t>Base Case (BC)</t>
  </si>
  <si>
    <t>Total Base Case capex</t>
  </si>
  <si>
    <t>Increase / (decrease) in capex (PP - BC)</t>
  </si>
  <si>
    <t>2) Operating &amp; Maintenance Expenditure (OPEX) ($) - please enter all costs as positive numbers</t>
  </si>
  <si>
    <t>2a) Non-fuel opex</t>
  </si>
  <si>
    <t>Total Preferred Project non-fuel opex</t>
  </si>
  <si>
    <t>Total Base Case non-fuel opex</t>
  </si>
  <si>
    <t>Increase / (decrease) in non-fuel opex (PP - BC)</t>
  </si>
  <si>
    <t>2b) Fuel opex - EXCLUDING ETS costs</t>
  </si>
  <si>
    <t>&lt;Select&gt;</t>
  </si>
  <si>
    <t>Total Preferred Project fuel opex</t>
  </si>
  <si>
    <t>Total Base Case fuel opex</t>
  </si>
  <si>
    <t>Increase / (decrease) in fuel opex (PP - BC)</t>
  </si>
  <si>
    <t>2c) ETS costs ($) - CALCULATED AUTOMATICALLY AFTER APPLICANT HAS FILLED-IN ENERGY CONSUMPTION PROJECTIONS</t>
  </si>
  <si>
    <t>Fuel type</t>
  </si>
  <si>
    <t>EF (kgCO2/unit)</t>
  </si>
  <si>
    <t>Total Preferred Project ETS costs</t>
  </si>
  <si>
    <t>Total Base Case ETS costs</t>
  </si>
  <si>
    <t>Increase / (decrease) in ETS costs (PP - BC)</t>
  </si>
  <si>
    <t>2d) Total Opex costs ($)</t>
  </si>
  <si>
    <t>Total Preferred Project opex</t>
  </si>
  <si>
    <t>Total Base Case opex</t>
  </si>
  <si>
    <t>Increase / (decrease) in total opex (PP - BC)</t>
  </si>
  <si>
    <t>3) Fuel consumption</t>
  </si>
  <si>
    <t>Units</t>
  </si>
  <si>
    <t>Check units</t>
  </si>
  <si>
    <t>tCO2</t>
  </si>
  <si>
    <t>Total emissions</t>
  </si>
  <si>
    <t>Increase / (decrease) emissions (PP - BC)</t>
  </si>
  <si>
    <t>4) Total project cashflows</t>
  </si>
  <si>
    <t>Excluding the requested GIDI funding</t>
  </si>
  <si>
    <t>Measure</t>
  </si>
  <si>
    <r>
      <t xml:space="preserve">Increase / (decrease) in total capex + opex (PP - BC), </t>
    </r>
    <r>
      <rPr>
        <b/>
        <i/>
        <u/>
        <sz val="11"/>
        <color theme="1"/>
        <rFont val="Calibri"/>
        <family val="2"/>
      </rPr>
      <t>incl.</t>
    </r>
    <r>
      <rPr>
        <b/>
        <i/>
        <sz val="11"/>
        <color theme="1"/>
        <rFont val="Calibri"/>
        <family val="2"/>
        <scheme val="minor"/>
      </rPr>
      <t xml:space="preserve"> ETS costs</t>
    </r>
  </si>
  <si>
    <t>Nominal</t>
  </si>
  <si>
    <t>Payback</t>
  </si>
  <si>
    <t>Cumulative</t>
  </si>
  <si>
    <t xml:space="preserve">Real </t>
  </si>
  <si>
    <r>
      <t xml:space="preserve">Increase / (decrease) in total capex + opex (PP - BC), </t>
    </r>
    <r>
      <rPr>
        <b/>
        <i/>
        <u/>
        <sz val="11"/>
        <color theme="1"/>
        <rFont val="Calibri"/>
        <family val="2"/>
      </rPr>
      <t>excl.</t>
    </r>
    <r>
      <rPr>
        <b/>
        <i/>
        <sz val="11"/>
        <color theme="1"/>
        <rFont val="Calibri"/>
        <family val="2"/>
        <scheme val="minor"/>
      </rPr>
      <t xml:space="preserve"> ETS costs</t>
    </r>
  </si>
  <si>
    <t>Including the requested GIDI funding</t>
  </si>
  <si>
    <t>Timing of receipt of GIDI funding</t>
  </si>
  <si>
    <t>5) Sanity checks</t>
  </si>
  <si>
    <t>Fuel entries correct?</t>
  </si>
  <si>
    <t>Implied fuel prices</t>
  </si>
  <si>
    <t>Implied fuel prices, excl. ETS costs ($/unit)</t>
  </si>
  <si>
    <t>Converted to real in $/default unit</t>
  </si>
  <si>
    <t>Fuel properties fuel offset</t>
  </si>
  <si>
    <t>Unit type offset</t>
  </si>
  <si>
    <t>Fuel conversion factor</t>
  </si>
  <si>
    <t>This tab has been included to allow applicants to do specific calculations they may require to help them formulate their input information.  It is possible for input cells in the Cashflow or In_Out tabs to link to cells in this tab.</t>
  </si>
  <si>
    <t>Data validation value arrays, plus additional constants</t>
  </si>
  <si>
    <t>Forbidden fuel unit types</t>
  </si>
  <si>
    <t>R</t>
  </si>
  <si>
    <t>Fuel units</t>
  </si>
  <si>
    <t>Fuel cost list</t>
  </si>
  <si>
    <t>Fuel cost parent type</t>
  </si>
  <si>
    <t>Natural Gas - Energy + Network</t>
  </si>
  <si>
    <t>Natural Gas - Energy excl. network</t>
  </si>
  <si>
    <t>Natural Gas - Network only</t>
  </si>
  <si>
    <t>Electricity - Energy + Network</t>
  </si>
  <si>
    <t>Electricity - Energy excl. network</t>
  </si>
  <si>
    <t>Electricity - Network only</t>
  </si>
  <si>
    <t>Real/nominal</t>
  </si>
  <si>
    <t>Real</t>
  </si>
  <si>
    <t>Region list</t>
  </si>
  <si>
    <t>Northland</t>
  </si>
  <si>
    <t>Auckland</t>
  </si>
  <si>
    <t>Waikato</t>
  </si>
  <si>
    <t>Bay of Plenty</t>
  </si>
  <si>
    <t>Gisborne</t>
  </si>
  <si>
    <t>Hawke’s Bay</t>
  </si>
  <si>
    <t>Taranaki</t>
  </si>
  <si>
    <t>Manawatu-Whanganui</t>
  </si>
  <si>
    <t>Wellington</t>
  </si>
  <si>
    <t>Tasman</t>
  </si>
  <si>
    <t>Nelson</t>
  </si>
  <si>
    <t>Marlborough</t>
  </si>
  <si>
    <t>West Coast</t>
  </si>
  <si>
    <t>Canterbury</t>
  </si>
  <si>
    <t>Otago</t>
  </si>
  <si>
    <t>Southland</t>
  </si>
  <si>
    <t>Sectors</t>
  </si>
  <si>
    <t>Commercial</t>
  </si>
  <si>
    <t>Construction</t>
  </si>
  <si>
    <t>Agriculture, Forestry and Fishing</t>
  </si>
  <si>
    <t>Dairy Product Manufacturing</t>
  </si>
  <si>
    <t>Industrial others</t>
  </si>
  <si>
    <t>Meat and Meat Product Manufacturing and Seafood</t>
  </si>
  <si>
    <t>Mining</t>
  </si>
  <si>
    <t>Non-Metallic Mineral Product Manufacturing</t>
  </si>
  <si>
    <t>Other Food Product Manufacturing</t>
  </si>
  <si>
    <t>Petroleum, Basic Chemical and Rubber Product Manufacturing</t>
  </si>
  <si>
    <t>Primary Metal and Metal Product Manufacturing</t>
  </si>
  <si>
    <t>Pulp, Paper and Converted Paper Product Manufacturing</t>
  </si>
  <si>
    <t>Wood Product Manufacturing</t>
  </si>
  <si>
    <t>Static factors</t>
  </si>
  <si>
    <t>GJ/MWh</t>
  </si>
  <si>
    <t>Maximum life to evaluate</t>
  </si>
  <si>
    <t>Period used to evaluate project IRR and abatement cost</t>
  </si>
  <si>
    <t>Please explain text</t>
  </si>
  <si>
    <t xml:space="preserve">The financial performance of the project, even without the requested GIDI funding, is superior to your stated threshold. </t>
  </si>
  <si>
    <t xml:space="preserve">The financial performance of the project after GIDI funding has been received is materially greater than your stated investment threshold criteria.  </t>
  </si>
  <si>
    <t>Please explain in your Response Form why the requested level of GIDI funding is required for the project to proceed.</t>
  </si>
  <si>
    <t>Threshold for too much GIDI funding being required</t>
  </si>
  <si>
    <t>Inflation offset</t>
  </si>
  <si>
    <t>Shadow price real year</t>
  </si>
  <si>
    <t>Assumed inflation for nominal ETS cap and floor rates</t>
  </si>
  <si>
    <t>Shadow offset</t>
  </si>
  <si>
    <t>Inflation</t>
  </si>
  <si>
    <t>Factor to get shadow price year to year of projection</t>
  </si>
  <si>
    <t>Factor to get nominal ETS prices into real year</t>
  </si>
  <si>
    <t>Real year</t>
  </si>
  <si>
    <t>Shadow price factor</t>
  </si>
  <si>
    <t>Solid fuel, transport emissions factors</t>
  </si>
  <si>
    <t>Coal</t>
  </si>
  <si>
    <t>Biomass</t>
  </si>
  <si>
    <t>t/truckload</t>
  </si>
  <si>
    <t>truck l/100km</t>
  </si>
  <si>
    <t>Assumed travel distance (return)</t>
  </si>
  <si>
    <t>emissions per truckload (kg)</t>
  </si>
  <si>
    <t>kgCO2/kg fuel</t>
  </si>
  <si>
    <t>Examples of IRR and payback</t>
  </si>
  <si>
    <t>Resulting metric</t>
  </si>
  <si>
    <t>Assumptions</t>
  </si>
  <si>
    <t>IRR over different lengths of time</t>
  </si>
  <si>
    <t>Cashflow</t>
  </si>
  <si>
    <t>Cumulative cashflow</t>
  </si>
  <si>
    <t>Ongoing savings as % of initial costs</t>
  </si>
  <si>
    <t>Annual rate at which savings increase / (decrease)</t>
  </si>
  <si>
    <t>Num years where cumulative not yet negative</t>
  </si>
  <si>
    <t>Converting post-tax nominal to pre-tax real</t>
  </si>
  <si>
    <t>Risk free rate of return</t>
  </si>
  <si>
    <t>Market risk premium</t>
  </si>
  <si>
    <t>Corporate tax rate</t>
  </si>
  <si>
    <t>Equity Beta</t>
  </si>
  <si>
    <t>Debt prop'n</t>
  </si>
  <si>
    <t>Cost of debt (Rd)</t>
  </si>
  <si>
    <t>Return on equity (Re)</t>
  </si>
  <si>
    <t>Return on equity, pre-tax</t>
  </si>
  <si>
    <t>WACC, post-tax, nominal</t>
  </si>
  <si>
    <t>cf. Reported</t>
  </si>
  <si>
    <t>WACC, pre-tax nominal</t>
  </si>
  <si>
    <t>WACC, pre-tax real</t>
  </si>
  <si>
    <t>Synlait</t>
  </si>
  <si>
    <t>Seeka Kiwifruit</t>
  </si>
  <si>
    <t>Acceptable returns (pre-tax, real, incl. expected ETS costs)</t>
  </si>
  <si>
    <t>Project size (Capex ($k))</t>
  </si>
  <si>
    <t>Acceptability message</t>
  </si>
  <si>
    <t/>
  </si>
  <si>
    <t>The projected financial performance including GIDI funding is very high relative to typical commercial rates of return on investment.  Please explain in the Response Form why this is an appropriate and acceptable level for government taxpayer support. E.g. public good, additionality</t>
  </si>
  <si>
    <t>B B B B</t>
  </si>
  <si>
    <t>Unless you can explain in the Reponse Form why this is an appropriate and acceptable level for taxpayer-funded government support (Eg, public good, additionality), this project will not receive GIDI funding.  Please consider whether your project can proceed with a lower level of GIDI funding.</t>
  </si>
  <si>
    <t>Threshold, post-GIDI, real payback</t>
  </si>
  <si>
    <t>Assessment criteria</t>
  </si>
  <si>
    <t>a=</t>
  </si>
  <si>
    <t>%</t>
  </si>
  <si>
    <t>Score</t>
  </si>
  <si>
    <t>Check</t>
  </si>
  <si>
    <t>b=</t>
  </si>
  <si>
    <t>years</t>
  </si>
  <si>
    <t>Rating</t>
  </si>
  <si>
    <t>Revised</t>
  </si>
  <si>
    <t>c=</t>
  </si>
  <si>
    <t>d=</t>
  </si>
  <si>
    <t>AC for EECA 8y</t>
  </si>
  <si>
    <t>$/t</t>
  </si>
  <si>
    <t>Default GJ conversion factor (GJ/unit)</t>
  </si>
  <si>
    <t>Project specific GJ conversion factor (GJ/unit)</t>
  </si>
  <si>
    <t>Chosen GJ conversion factor values (GJ/unit)</t>
  </si>
  <si>
    <t>Project specific emissions factor (kgCO2-e/unit)</t>
  </si>
  <si>
    <t>Chosen emissions factor (kgCO2-e/unit)</t>
  </si>
  <si>
    <t>Allow for delay in commissioning year in calculating lifetime impact</t>
  </si>
  <si>
    <t>Commissioning Year</t>
  </si>
  <si>
    <t>Project Year Offset</t>
  </si>
  <si>
    <t>Real Shadow prices in project year</t>
  </si>
  <si>
    <t>Project year</t>
  </si>
  <si>
    <t>Real shadow prices for comparison with MAC</t>
  </si>
  <si>
    <t>cf. threshold ETS carbon price ($/tCO2)</t>
  </si>
  <si>
    <t>Residual abatement cost to applicant after GIDI co-funding ($/tCO2)</t>
  </si>
  <si>
    <t>Including requested GIDI co-funding</t>
  </si>
  <si>
    <t>Excluding requested GIDI co-funding</t>
  </si>
  <si>
    <t>Outputs for use in a waterfall chart</t>
  </si>
  <si>
    <t>Project MAC</t>
  </si>
  <si>
    <t>EECA MAC</t>
  </si>
  <si>
    <t>Social discount factor</t>
  </si>
  <si>
    <t>Discount rate (social)</t>
  </si>
  <si>
    <t>Discount rate (low social)</t>
  </si>
  <si>
    <t>Discount rate (private, WACC)</t>
  </si>
  <si>
    <t>Discount rate (private, hurdle rate)</t>
  </si>
  <si>
    <t>Months between submission date and commissioning date</t>
  </si>
  <si>
    <t>Residual cost to firm ($/tCO2)</t>
  </si>
  <si>
    <t>Social discount factor 5% rate</t>
  </si>
  <si>
    <t>Social discount factor 2% test rate</t>
  </si>
  <si>
    <t>Private discount factor hurdle rate</t>
  </si>
  <si>
    <t>Private discount factor WACC</t>
  </si>
  <si>
    <t>Real ETS NZU prices (estimated expectation) in project year</t>
  </si>
  <si>
    <t>Real Shadow prices in project year high path</t>
  </si>
  <si>
    <t>Real Shadow prices in project year low path</t>
  </si>
  <si>
    <t>NZ inc view permissive 2% social discount test rate; high cost of alternatives</t>
  </si>
  <si>
    <t>NZ inc view 5% social discount rate, central shadow price cost of alternatives</t>
  </si>
  <si>
    <t>Applicant view hurdle rate, forecast ETS cost of alternatives</t>
  </si>
  <si>
    <t>Applicant view WACC, forecast ETS cost of alternatives</t>
  </si>
  <si>
    <t>Time</t>
  </si>
  <si>
    <t>Discount rates</t>
  </si>
  <si>
    <t>Carbon prices for comparison with MAC</t>
  </si>
  <si>
    <t>Standardized anticipated future carbon prices in the ETS ($/tCO2) - real or nominal to match applicant</t>
  </si>
  <si>
    <t>Expected commissioning date of project (dd/mm/yy)</t>
  </si>
  <si>
    <t>Date of application submission (dd/mm/yy)</t>
  </si>
  <si>
    <t>Number of years of CO2 reduction</t>
  </si>
  <si>
    <t>Average CO2 reduction per year (tCO2/yr)</t>
  </si>
  <si>
    <t>Total emissions reduction (tCO2)</t>
  </si>
  <si>
    <t>First year of abatement</t>
  </si>
  <si>
    <t>FAT release date (dd/mm/yy)</t>
  </si>
  <si>
    <t>FAT release</t>
  </si>
  <si>
    <t>Government Investment in Decarbonising Industry (GIDI) Fund - Applicant Guide</t>
  </si>
  <si>
    <t>D)  Specify the financial threshold criterion you use for approving an investment</t>
  </si>
  <si>
    <r>
      <rPr>
        <sz val="11"/>
        <rFont val="Calibri"/>
        <family val="2"/>
      </rPr>
      <t>Pre-tax</t>
    </r>
    <r>
      <rPr>
        <sz val="11"/>
        <rFont val="Calibri"/>
        <family val="2"/>
        <scheme val="minor"/>
      </rPr>
      <t xml:space="preserve"> payback (years)</t>
    </r>
  </si>
  <si>
    <t>Raw hurdle rate, approximate if Thresh_Payback provided</t>
  </si>
  <si>
    <t>Project involves coal?</t>
  </si>
  <si>
    <t>Within EB1</t>
  </si>
  <si>
    <t>Within EB2</t>
  </si>
  <si>
    <t>Within EB3</t>
  </si>
  <si>
    <t>Emissions reduction and costs</t>
  </si>
  <si>
    <t>Period used to evaluate abatement cost over first two budget periods</t>
  </si>
  <si>
    <t>Period used to evaluate abatement cost over first budget period</t>
  </si>
  <si>
    <t>Period used to evaluate abatement cost over first three budget periods</t>
  </si>
  <si>
    <t>Period used to evaluate abatement cost over first four budget periods</t>
  </si>
  <si>
    <t>Period used to evaluate abatement cost over first five budget periods</t>
  </si>
  <si>
    <t>Period used to evaluate abatement cost over first six budget periods</t>
  </si>
  <si>
    <t>First year of project cashflows (yyyy)</t>
  </si>
  <si>
    <t>If this project reduces coal consumption, is there a reason why its emissions reduction impact should be considered additional beyond the start of 2037?</t>
  </si>
  <si>
    <t>Is this a heat pump project?</t>
  </si>
  <si>
    <t>The 'expected useful life of the project' will determine the period over which the financial and emissions performance of the project will be evaluated.  Please ensure that the cashflow and fuel projections extend this far - noting that the first year of the project is counted as year 0.  Thus, a project with a 20 year life should have 21 years' worth of projected data input in the Cashflow tab.  For boiler conversions, you should enter the remaining useful life of the boiler.  For heat pumps, the maximum life that EECA will evaluate is 20 years.  For all other technologies, the useful life will be evaluated on a case-by-case basis, subject to a maximum length that EECA will evaluate of 25 years. For projects switching from Coal, the maximum time period EECA will consider is out to 2037, unless the applicant can provide good reasons why this is inappropriate in their case.</t>
  </si>
  <si>
    <t>Within EB4</t>
  </si>
  <si>
    <t>Within EB5</t>
  </si>
  <si>
    <t>Within EB6</t>
  </si>
  <si>
    <t>Budget periods</t>
  </si>
  <si>
    <t>BP1 flag</t>
  </si>
  <si>
    <t>BP2 flag</t>
  </si>
  <si>
    <t>BP3 flag</t>
  </si>
  <si>
    <t>BP4 flag</t>
  </si>
  <si>
    <t>BP5 flag</t>
  </si>
  <si>
    <t>BP6 flag</t>
  </si>
  <si>
    <t>Active year</t>
  </si>
  <si>
    <t>Project life flag</t>
  </si>
  <si>
    <t>Up to end of EB2</t>
  </si>
  <si>
    <t>Provisional score</t>
  </si>
  <si>
    <t>NPV to NZ</t>
  </si>
  <si>
    <t>NPV to firm before co-funding</t>
  </si>
  <si>
    <t>NPV to firm after co-funding</t>
  </si>
  <si>
    <t>Firm IRR before co-funding</t>
  </si>
  <si>
    <t>Firm IRR after co-funding</t>
  </si>
  <si>
    <t>Payback period before co-funding</t>
  </si>
  <si>
    <t>Payback period after co-funding</t>
  </si>
  <si>
    <t>Stated IRR threshold</t>
  </si>
  <si>
    <t>Stated payback threshold</t>
  </si>
  <si>
    <t>GIDI Levelized Abatement Cost, $/t</t>
  </si>
  <si>
    <t>NPV threshold</t>
  </si>
  <si>
    <t>Dual waterfall inputs</t>
  </si>
  <si>
    <t>Project summary inputs</t>
  </si>
  <si>
    <t>Does the project replace the use of coal for industrial process heat?</t>
  </si>
  <si>
    <t>Emission factor, kgCO2-e per unit:</t>
  </si>
  <si>
    <t>If I have 1 default pricing unit, I have x of the unit specified below.</t>
  </si>
  <si>
    <t>MPS release date</t>
  </si>
  <si>
    <t>CBAx release date</t>
  </si>
  <si>
    <t>(shadow prices)</t>
  </si>
  <si>
    <t>(inflation values)</t>
  </si>
  <si>
    <t>TSY High carbon shadow price (Real $/tCO2)</t>
  </si>
  <si>
    <t>TSY Central carbon shadow price (Real $/tCO2)</t>
  </si>
  <si>
    <t>TSY Low carbon shadow price (Real $/tCO2)</t>
  </si>
  <si>
    <t>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</si>
</sst>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164" formatCode="#,##0_ ;\-#,##0\ "/>
    <numFmt numFmtId="165" formatCode="#,##0.00_ ;\-#,##0.00\ "/>
    <numFmt numFmtId="166" formatCode="#,##0.0_ ;\-#,##0.0\ "/>
    <numFmt numFmtId="167" formatCode="#,##0.0000_ ;\-#,##0.0000\ "/>
    <numFmt numFmtId="168" formatCode="0.0%"/>
    <numFmt numFmtId="169" formatCode="#,##0.000_ ;\-#,##0.000\ "/>
    <numFmt numFmtId="170" formatCode="#,##0.0_ ;[Red]\-#,##0.0\ "/>
    <numFmt numFmtId="171" formatCode="_-&quot;$&quot;* #,##0_-;\-&quot;$&quot;* #,##0_-;_-&quot;$&quot;* &quot;-&quot;??_-;_-@_-"/>
    <numFmt numFmtId="172" formatCode="0.0"/>
    <numFmt numFmtId="173" formatCode="0.00000000"/>
    <numFmt numFmtId="174" formatCode="0.0##%"/>
    <numFmt numFmtId="175" formatCode="0.###"/>
  </numFmts>
  <fonts count="40"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b/>
      <sz val="14"/>
      <color theme="1"/>
      <name val="Calibri"/>
      <family val="2"/>
      <scheme val="minor"/>
    </font>
    <font>
      <sz val="11"/>
      <color theme="4"/>
      <name val="Calibri"/>
      <family val="2"/>
      <scheme val="minor"/>
    </font>
    <font>
      <sz val="11"/>
      <color rgb="FF7030A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
      <sz val="11"/>
      <name val="Calibri"/>
      <family val="2"/>
      <scheme val="minor"/>
    </font>
    <font>
      <sz val="9"/>
      <color rgb="FF00B050"/>
      <name val="Calibri"/>
      <family val="2"/>
      <scheme val="minor"/>
    </font>
    <font>
      <sz val="9"/>
      <color theme="1"/>
      <name val="Calibri"/>
      <family val="2"/>
      <scheme val="minor"/>
    </font>
    <font>
      <sz val="9"/>
      <color rgb="FFFF0000"/>
      <name val="Calibri"/>
      <family val="2"/>
      <scheme val="minor"/>
    </font>
    <font>
      <sz val="9"/>
      <name val="Calibri"/>
      <family val="2"/>
      <scheme val="minor"/>
    </font>
    <font>
      <b/>
      <i/>
      <u/>
      <sz val="11"/>
      <color theme="1"/>
      <name val="Calibri"/>
      <family val="2"/>
    </font>
    <font>
      <sz val="4"/>
      <color theme="1"/>
      <name val="Calibri"/>
      <family val="2"/>
      <scheme val="minor"/>
    </font>
    <font>
      <sz val="11"/>
      <color theme="1" tint="0.34998626667073579"/>
      <name val="Calibri"/>
      <family val="2"/>
      <scheme val="minor"/>
    </font>
    <font>
      <sz val="4"/>
      <color theme="1" tint="0.34998626667073579"/>
      <name val="Calibri"/>
      <family val="2"/>
      <scheme val="minor"/>
    </font>
    <font>
      <b/>
      <i/>
      <sz val="11"/>
      <color theme="1"/>
      <name val="Calibri"/>
      <family val="2"/>
    </font>
    <font>
      <b/>
      <sz val="11"/>
      <name val="Calibri"/>
      <family val="2"/>
      <scheme val="minor"/>
    </font>
    <font>
      <b/>
      <sz val="14"/>
      <color theme="0"/>
      <name val="Calibri"/>
      <family val="2"/>
      <scheme val="minor"/>
    </font>
    <font>
      <b/>
      <sz val="11"/>
      <color rgb="FFFF00FF"/>
      <name val="Calibri"/>
      <family val="2"/>
      <scheme val="minor"/>
    </font>
    <font>
      <sz val="11"/>
      <color theme="5"/>
      <name val="Calibri"/>
      <family val="2"/>
      <scheme val="minor"/>
    </font>
    <font>
      <sz val="11"/>
      <color theme="9"/>
      <name val="Calibri"/>
      <family val="2"/>
      <scheme val="minor"/>
    </font>
    <font>
      <sz val="11"/>
      <color rgb="FFFF00FF"/>
      <name val="Calibri"/>
      <family val="2"/>
      <scheme val="minor"/>
    </font>
    <font>
      <sz val="10"/>
      <color theme="1"/>
      <name val="Calibri"/>
      <family val="2"/>
      <scheme val="minor"/>
    </font>
    <font>
      <b/>
      <sz val="13"/>
      <color theme="1"/>
      <name val="Calibri"/>
      <family val="2"/>
      <scheme val="minor"/>
    </font>
    <font>
      <sz val="11"/>
      <color theme="9" tint="-0.499984740745262"/>
      <name val="Calibri"/>
      <family val="2"/>
      <scheme val="minor"/>
    </font>
    <font>
      <sz val="11"/>
      <name val="Calibri"/>
      <family val="2"/>
    </font>
    <font>
      <b/>
      <i/>
      <sz val="11"/>
      <name val="Calibri"/>
      <family val="2"/>
      <scheme val="minor"/>
    </font>
    <font>
      <sz val="10"/>
      <color rgb="FFFF00FF"/>
      <name val="Calibri"/>
      <family val="2"/>
      <scheme val="minor"/>
    </font>
    <font>
      <sz val="1"/>
      <color rgb="FFFF0000"/>
      <name val="Calibri"/>
      <family val="2"/>
      <scheme val="minor"/>
    </font>
    <font>
      <sz val="9"/>
      <color theme="1" tint="0.34998626667073579"/>
      <name val="Calibri"/>
      <family val="2"/>
      <scheme val="minor"/>
    </font>
    <font>
      <u/>
      <sz val="9"/>
      <color rgb="FF00B050"/>
      <name val="Calibri"/>
      <family val="2"/>
      <scheme val="minor"/>
    </font>
    <font>
      <sz val="8"/>
      <name val="Calibri"/>
      <family val="2"/>
      <scheme val="minor"/>
    </font>
    <font>
      <b/>
      <sz val="10"/>
      <color rgb="FFFF00FF"/>
      <name val="Calibri"/>
      <family val="2"/>
      <scheme val="minor"/>
    </font>
    <font>
      <i/>
      <sz val="11"/>
      <color theme="1"/>
      <name val="Calibri"/>
      <family val="2"/>
      <scheme val="minor"/>
    </font>
    <font>
      <i/>
      <sz val="11"/>
      <color theme="4"/>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s>
  <borders count="27">
    <border>
      <left/>
      <right/>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310">
    <xf numFmtId="0" fontId="0" fillId="0" borderId="0" xfId="0"/>
    <xf numFmtId="0" fontId="1" fillId="0" borderId="0" xfId="0" applyFont="1"/>
    <xf numFmtId="0" fontId="4" fillId="0" borderId="0" xfId="0" applyFont="1"/>
    <xf numFmtId="0" fontId="0" fillId="2" borderId="0" xfId="0" applyFill="1"/>
    <xf numFmtId="0" fontId="6" fillId="0" borderId="0" xfId="0" applyFont="1"/>
    <xf numFmtId="0" fontId="7" fillId="0" borderId="0" xfId="0" applyFont="1"/>
    <xf numFmtId="0" fontId="3" fillId="2" borderId="0" xfId="0" applyFont="1" applyFill="1"/>
    <xf numFmtId="0" fontId="0" fillId="2" borderId="1" xfId="0" applyFill="1" applyBorder="1"/>
    <xf numFmtId="0" fontId="5" fillId="2" borderId="0" xfId="0" applyFont="1" applyFill="1"/>
    <xf numFmtId="0" fontId="4" fillId="2" borderId="0" xfId="0" applyFont="1" applyFill="1"/>
    <xf numFmtId="0" fontId="8" fillId="2" borderId="0" xfId="0" applyFont="1" applyFill="1"/>
    <xf numFmtId="0" fontId="8" fillId="2" borderId="1" xfId="0" applyFont="1" applyFill="1" applyBorder="1"/>
    <xf numFmtId="0" fontId="9" fillId="2" borderId="0" xfId="0" applyFont="1" applyFill="1"/>
    <xf numFmtId="0" fontId="10" fillId="2" borderId="0" xfId="0" applyFont="1" applyFill="1"/>
    <xf numFmtId="0" fontId="3" fillId="2" borderId="1" xfId="0" applyFont="1" applyFill="1" applyBorder="1"/>
    <xf numFmtId="0" fontId="1" fillId="2" borderId="0" xfId="0" applyFont="1" applyFill="1"/>
    <xf numFmtId="0" fontId="3" fillId="2" borderId="2" xfId="0" applyFont="1" applyFill="1" applyBorder="1"/>
    <xf numFmtId="0" fontId="3" fillId="2" borderId="3" xfId="0" applyFont="1" applyFill="1" applyBorder="1"/>
    <xf numFmtId="0" fontId="3" fillId="2" borderId="4" xfId="0" applyFont="1" applyFill="1" applyBorder="1"/>
    <xf numFmtId="0" fontId="8" fillId="2" borderId="2" xfId="0" applyFont="1" applyFill="1" applyBorder="1"/>
    <xf numFmtId="0" fontId="8" fillId="2" borderId="3" xfId="0" applyFont="1" applyFill="1" applyBorder="1"/>
    <xf numFmtId="0" fontId="8" fillId="2" borderId="4" xfId="0" applyFont="1" applyFill="1" applyBorder="1"/>
    <xf numFmtId="164" fontId="0" fillId="2" borderId="0" xfId="1" applyFont="1" applyFill="1"/>
    <xf numFmtId="166" fontId="0" fillId="2" borderId="0" xfId="1" applyNumberFormat="1" applyFont="1" applyFill="1"/>
    <xf numFmtId="165" fontId="0" fillId="2" borderId="0" xfId="1" applyNumberFormat="1" applyFont="1" applyFill="1"/>
    <xf numFmtId="0" fontId="11" fillId="0" borderId="0" xfId="0" applyFont="1"/>
    <xf numFmtId="167" fontId="0" fillId="2" borderId="0" xfId="1" applyNumberFormat="1" applyFont="1" applyFill="1"/>
    <xf numFmtId="0" fontId="3" fillId="0" borderId="0" xfId="0" applyFont="1"/>
    <xf numFmtId="165" fontId="8" fillId="2" borderId="0" xfId="1" applyNumberFormat="1" applyFont="1" applyFill="1"/>
    <xf numFmtId="165" fontId="3" fillId="2" borderId="0" xfId="1" applyNumberFormat="1" applyFont="1" applyFill="1"/>
    <xf numFmtId="164" fontId="12" fillId="2" borderId="1" xfId="1" applyFont="1" applyFill="1" applyBorder="1"/>
    <xf numFmtId="164" fontId="13" fillId="2" borderId="0" xfId="1" applyFont="1" applyFill="1"/>
    <xf numFmtId="164" fontId="14" fillId="2" borderId="1" xfId="1" applyFont="1" applyFill="1" applyBorder="1"/>
    <xf numFmtId="0" fontId="11" fillId="2" borderId="0" xfId="0" applyFont="1" applyFill="1"/>
    <xf numFmtId="164" fontId="12" fillId="2" borderId="0" xfId="1" applyFont="1" applyFill="1"/>
    <xf numFmtId="164" fontId="12" fillId="2" borderId="5" xfId="1" applyFont="1" applyFill="1" applyBorder="1"/>
    <xf numFmtId="164" fontId="12" fillId="2" borderId="0" xfId="1" applyFont="1" applyFill="1" applyBorder="1"/>
    <xf numFmtId="164" fontId="14" fillId="2" borderId="5" xfId="1" applyFont="1" applyFill="1" applyBorder="1"/>
    <xf numFmtId="164" fontId="14" fillId="2" borderId="0" xfId="1" applyFont="1" applyFill="1" applyBorder="1"/>
    <xf numFmtId="164" fontId="15" fillId="2" borderId="0" xfId="1" applyFont="1" applyFill="1" applyBorder="1"/>
    <xf numFmtId="164" fontId="13" fillId="2" borderId="0" xfId="0" applyNumberFormat="1" applyFont="1" applyFill="1"/>
    <xf numFmtId="0" fontId="17" fillId="2" borderId="0" xfId="0" applyFont="1" applyFill="1"/>
    <xf numFmtId="0" fontId="0" fillId="2" borderId="0" xfId="0" applyFill="1" applyAlignment="1">
      <alignment horizontal="right"/>
    </xf>
    <xf numFmtId="0" fontId="19" fillId="2" borderId="0" xfId="0" applyFont="1" applyFill="1"/>
    <xf numFmtId="0" fontId="18" fillId="2" borderId="0" xfId="0" applyFont="1" applyFill="1"/>
    <xf numFmtId="0" fontId="18" fillId="2" borderId="0" xfId="0" applyFont="1" applyFill="1" applyAlignment="1">
      <alignment horizontal="right"/>
    </xf>
    <xf numFmtId="0" fontId="0" fillId="4" borderId="0" xfId="0" applyFill="1"/>
    <xf numFmtId="0" fontId="0" fillId="0" borderId="0" xfId="0" applyAlignment="1">
      <alignment wrapText="1"/>
    </xf>
    <xf numFmtId="0" fontId="21" fillId="0" borderId="0" xfId="0" applyFont="1"/>
    <xf numFmtId="0" fontId="0" fillId="2" borderId="0" xfId="0" applyFill="1" applyAlignment="1">
      <alignment horizontal="center"/>
    </xf>
    <xf numFmtId="0" fontId="22" fillId="4" borderId="0" xfId="0" applyFont="1" applyFill="1"/>
    <xf numFmtId="9" fontId="0" fillId="2" borderId="0" xfId="0" applyNumberFormat="1" applyFill="1" applyAlignment="1">
      <alignment horizontal="center"/>
    </xf>
    <xf numFmtId="165" fontId="0" fillId="2" borderId="0" xfId="1" applyNumberFormat="1" applyFont="1" applyFill="1" applyAlignment="1">
      <alignment horizontal="center"/>
    </xf>
    <xf numFmtId="0" fontId="23" fillId="2" borderId="0" xfId="0" applyFont="1" applyFill="1"/>
    <xf numFmtId="0" fontId="8" fillId="0" borderId="0" xfId="0" applyFont="1" applyProtection="1">
      <protection locked="0"/>
    </xf>
    <xf numFmtId="0" fontId="0" fillId="0" borderId="0" xfId="0" applyProtection="1">
      <protection locked="0"/>
    </xf>
    <xf numFmtId="164" fontId="12" fillId="0" borderId="0" xfId="1" applyFont="1" applyFill="1" applyProtection="1">
      <protection locked="0"/>
    </xf>
    <xf numFmtId="0" fontId="3" fillId="0" borderId="0" xfId="0" applyFont="1" applyProtection="1">
      <protection locked="0"/>
    </xf>
    <xf numFmtId="164" fontId="14" fillId="0" borderId="0" xfId="1" applyFont="1" applyFill="1" applyProtection="1">
      <protection locked="0"/>
    </xf>
    <xf numFmtId="10" fontId="6" fillId="0" borderId="0" xfId="2" applyNumberFormat="1" applyFont="1" applyFill="1" applyProtection="1">
      <protection locked="0"/>
    </xf>
    <xf numFmtId="165" fontId="6" fillId="0" borderId="0" xfId="1" applyNumberFormat="1" applyFont="1" applyFill="1" applyProtection="1">
      <protection locked="0"/>
    </xf>
    <xf numFmtId="0" fontId="0" fillId="5" borderId="0" xfId="0" applyFill="1" applyAlignment="1">
      <alignment wrapText="1"/>
    </xf>
    <xf numFmtId="0" fontId="0" fillId="5" borderId="0" xfId="0" applyFill="1" applyAlignment="1">
      <alignment horizontal="left" wrapText="1" indent="1"/>
    </xf>
    <xf numFmtId="0" fontId="0" fillId="3" borderId="0" xfId="0" applyFill="1"/>
    <xf numFmtId="9" fontId="6" fillId="3" borderId="0" xfId="0" applyNumberFormat="1" applyFont="1" applyFill="1"/>
    <xf numFmtId="166" fontId="0" fillId="2" borderId="6" xfId="1" applyNumberFormat="1" applyFont="1" applyFill="1" applyBorder="1" applyAlignment="1">
      <alignment horizontal="centerContinuous"/>
    </xf>
    <xf numFmtId="166" fontId="0" fillId="2" borderId="7" xfId="1" applyNumberFormat="1" applyFont="1" applyFill="1" applyBorder="1" applyAlignment="1">
      <alignment horizontal="centerContinuous"/>
    </xf>
    <xf numFmtId="166" fontId="0" fillId="2" borderId="6" xfId="1" applyNumberFormat="1" applyFont="1" applyFill="1" applyBorder="1"/>
    <xf numFmtId="166" fontId="0" fillId="2" borderId="8" xfId="1" applyNumberFormat="1" applyFont="1" applyFill="1" applyBorder="1"/>
    <xf numFmtId="166" fontId="0" fillId="2" borderId="10" xfId="1" applyNumberFormat="1" applyFont="1" applyFill="1" applyBorder="1"/>
    <xf numFmtId="0" fontId="0" fillId="2" borderId="10" xfId="0" applyFill="1" applyBorder="1" applyAlignment="1">
      <alignment horizontal="centerContinuous" wrapText="1"/>
    </xf>
    <xf numFmtId="0" fontId="0" fillId="2" borderId="11" xfId="0" applyFill="1" applyBorder="1" applyAlignment="1">
      <alignment horizontal="centerContinuous" wrapText="1"/>
    </xf>
    <xf numFmtId="0" fontId="4" fillId="2" borderId="6" xfId="0" applyFont="1" applyFill="1" applyBorder="1"/>
    <xf numFmtId="166" fontId="4" fillId="2" borderId="10" xfId="1" applyNumberFormat="1" applyFont="1" applyFill="1" applyBorder="1" applyAlignment="1">
      <alignment vertical="top"/>
    </xf>
    <xf numFmtId="168" fontId="0" fillId="2" borderId="6" xfId="2" applyNumberFormat="1" applyFont="1" applyFill="1" applyBorder="1" applyAlignment="1">
      <alignment horizontal="center"/>
    </xf>
    <xf numFmtId="166" fontId="0" fillId="2" borderId="7" xfId="1" applyNumberFormat="1" applyFont="1" applyFill="1" applyBorder="1" applyAlignment="1">
      <alignment horizontal="center"/>
    </xf>
    <xf numFmtId="168" fontId="0" fillId="2" borderId="8" xfId="2" applyNumberFormat="1" applyFont="1" applyFill="1" applyBorder="1" applyAlignment="1">
      <alignment horizontal="center"/>
    </xf>
    <xf numFmtId="166" fontId="0" fillId="2" borderId="9" xfId="1" applyNumberFormat="1" applyFont="1" applyFill="1" applyBorder="1" applyAlignment="1">
      <alignment horizontal="center"/>
    </xf>
    <xf numFmtId="168" fontId="0" fillId="2" borderId="10" xfId="2" applyNumberFormat="1" applyFont="1" applyFill="1" applyBorder="1" applyAlignment="1">
      <alignment horizontal="center"/>
    </xf>
    <xf numFmtId="166" fontId="0" fillId="2" borderId="11" xfId="1" applyNumberFormat="1" applyFont="1" applyFill="1" applyBorder="1" applyAlignment="1">
      <alignment horizontal="center"/>
    </xf>
    <xf numFmtId="166" fontId="0" fillId="2" borderId="12" xfId="1" applyNumberFormat="1" applyFont="1" applyFill="1" applyBorder="1"/>
    <xf numFmtId="166" fontId="0" fillId="2" borderId="7" xfId="1" applyNumberFormat="1" applyFont="1" applyFill="1" applyBorder="1"/>
    <xf numFmtId="166" fontId="0" fillId="2" borderId="0" xfId="1" applyNumberFormat="1" applyFont="1" applyFill="1" applyBorder="1"/>
    <xf numFmtId="166" fontId="0" fillId="2" borderId="9" xfId="1" applyNumberFormat="1" applyFont="1" applyFill="1" applyBorder="1"/>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0" fontId="4" fillId="2" borderId="16" xfId="0" applyFont="1" applyFill="1" applyBorder="1" applyAlignment="1">
      <alignment horizontal="center" wrapText="1"/>
    </xf>
    <xf numFmtId="0" fontId="0" fillId="2" borderId="6" xfId="0" applyFill="1" applyBorder="1"/>
    <xf numFmtId="0" fontId="0" fillId="2" borderId="8" xfId="0" applyFill="1" applyBorder="1"/>
    <xf numFmtId="0" fontId="0" fillId="2" borderId="10" xfId="0" applyFill="1" applyBorder="1"/>
    <xf numFmtId="166" fontId="0" fillId="2" borderId="14" xfId="1" applyNumberFormat="1" applyFont="1" applyFill="1" applyBorder="1"/>
    <xf numFmtId="166" fontId="0" fillId="2" borderId="15" xfId="1" applyNumberFormat="1" applyFont="1" applyFill="1" applyBorder="1"/>
    <xf numFmtId="166" fontId="0" fillId="2" borderId="16" xfId="1" applyNumberFormat="1" applyFont="1" applyFill="1" applyBorder="1"/>
    <xf numFmtId="166" fontId="24" fillId="2" borderId="0" xfId="1" applyNumberFormat="1" applyFont="1" applyFill="1" applyBorder="1"/>
    <xf numFmtId="166" fontId="25" fillId="2" borderId="0" xfId="1" applyNumberFormat="1" applyFont="1" applyFill="1" applyBorder="1"/>
    <xf numFmtId="165" fontId="0" fillId="2" borderId="0" xfId="1" applyNumberFormat="1" applyFont="1" applyFill="1" applyBorder="1"/>
    <xf numFmtId="165" fontId="0" fillId="2" borderId="9" xfId="1" applyNumberFormat="1" applyFont="1" applyFill="1" applyBorder="1"/>
    <xf numFmtId="9" fontId="0" fillId="2" borderId="0" xfId="2" applyFont="1" applyFill="1"/>
    <xf numFmtId="164" fontId="0" fillId="0" borderId="0" xfId="1" applyFont="1"/>
    <xf numFmtId="0" fontId="26" fillId="2" borderId="0" xfId="0" applyFont="1" applyFill="1"/>
    <xf numFmtId="165" fontId="0" fillId="0" borderId="0" xfId="1" applyNumberFormat="1" applyFont="1"/>
    <xf numFmtId="168" fontId="6" fillId="0" borderId="0" xfId="2" applyNumberFormat="1" applyFont="1"/>
    <xf numFmtId="9" fontId="6" fillId="0" borderId="0" xfId="0" applyNumberFormat="1" applyFont="1"/>
    <xf numFmtId="165" fontId="0" fillId="0" borderId="0" xfId="1" applyNumberFormat="1" applyFont="1" applyFill="1" applyAlignment="1">
      <alignment horizontal="center"/>
    </xf>
    <xf numFmtId="168" fontId="0" fillId="0" borderId="0" xfId="2" applyNumberFormat="1" applyFont="1"/>
    <xf numFmtId="9" fontId="11" fillId="0" borderId="0" xfId="0" applyNumberFormat="1" applyFont="1"/>
    <xf numFmtId="169" fontId="0" fillId="2" borderId="0" xfId="1" applyNumberFormat="1" applyFont="1" applyFill="1" applyBorder="1"/>
    <xf numFmtId="164" fontId="2" fillId="2" borderId="0" xfId="1" applyFont="1" applyFill="1"/>
    <xf numFmtId="9" fontId="0" fillId="0" borderId="0" xfId="0" applyNumberFormat="1"/>
    <xf numFmtId="10" fontId="0" fillId="0" borderId="0" xfId="0" applyNumberFormat="1"/>
    <xf numFmtId="168" fontId="0" fillId="0" borderId="0" xfId="0" applyNumberFormat="1"/>
    <xf numFmtId="0" fontId="0" fillId="0" borderId="16" xfId="0" applyBorder="1"/>
    <xf numFmtId="9" fontId="0" fillId="0" borderId="15" xfId="0" applyNumberFormat="1" applyBorder="1"/>
    <xf numFmtId="10" fontId="0" fillId="0" borderId="15" xfId="0" applyNumberFormat="1" applyBorder="1"/>
    <xf numFmtId="168" fontId="0" fillId="0" borderId="15" xfId="0" applyNumberFormat="1" applyBorder="1"/>
    <xf numFmtId="0" fontId="0" fillId="0" borderId="17" xfId="0" quotePrefix="1" applyBorder="1"/>
    <xf numFmtId="0" fontId="0" fillId="0" borderId="18" xfId="0" quotePrefix="1" applyBorder="1"/>
    <xf numFmtId="0" fontId="28" fillId="2" borderId="0" xfId="0" applyFont="1" applyFill="1"/>
    <xf numFmtId="0" fontId="27" fillId="2" borderId="0" xfId="0" applyFont="1" applyFill="1"/>
    <xf numFmtId="0" fontId="4" fillId="5" borderId="0" xfId="0" applyFont="1" applyFill="1" applyAlignment="1">
      <alignment wrapText="1"/>
    </xf>
    <xf numFmtId="0" fontId="1" fillId="5" borderId="0" xfId="0" applyFont="1" applyFill="1" applyAlignment="1">
      <alignment wrapText="1"/>
    </xf>
    <xf numFmtId="164" fontId="6" fillId="0" borderId="14" xfId="1" applyFont="1" applyBorder="1"/>
    <xf numFmtId="164" fontId="6" fillId="0" borderId="15" xfId="1" applyFont="1" applyBorder="1"/>
    <xf numFmtId="0" fontId="6" fillId="3" borderId="0" xfId="0" applyFont="1" applyFill="1"/>
    <xf numFmtId="0" fontId="6" fillId="0" borderId="18" xfId="0" applyFont="1" applyBorder="1"/>
    <xf numFmtId="0" fontId="25" fillId="0" borderId="19" xfId="0" applyFont="1" applyBorder="1"/>
    <xf numFmtId="0" fontId="25" fillId="3" borderId="0" xfId="0" applyFont="1" applyFill="1"/>
    <xf numFmtId="0" fontId="11" fillId="0" borderId="0" xfId="0" applyFont="1" applyAlignment="1">
      <alignment wrapText="1"/>
    </xf>
    <xf numFmtId="168" fontId="6" fillId="0" borderId="0" xfId="0" applyNumberFormat="1" applyFont="1"/>
    <xf numFmtId="0" fontId="31" fillId="2" borderId="0" xfId="0" applyFont="1" applyFill="1"/>
    <xf numFmtId="0" fontId="6" fillId="0" borderId="17" xfId="0" applyFont="1" applyBorder="1"/>
    <xf numFmtId="0" fontId="6" fillId="0" borderId="19" xfId="0" applyFont="1" applyBorder="1"/>
    <xf numFmtId="165" fontId="25" fillId="2" borderId="0" xfId="1" applyNumberFormat="1" applyFont="1" applyFill="1" applyBorder="1"/>
    <xf numFmtId="0" fontId="0" fillId="0" borderId="17" xfId="0" applyBorder="1"/>
    <xf numFmtId="0" fontId="0" fillId="0" borderId="18" xfId="0" applyBorder="1"/>
    <xf numFmtId="0" fontId="0" fillId="0" borderId="19" xfId="0" applyBorder="1"/>
    <xf numFmtId="165" fontId="25" fillId="2" borderId="8" xfId="1" applyNumberFormat="1" applyFont="1" applyFill="1" applyBorder="1"/>
    <xf numFmtId="167" fontId="0" fillId="2" borderId="13" xfId="1" applyNumberFormat="1" applyFont="1" applyFill="1" applyBorder="1"/>
    <xf numFmtId="166" fontId="0" fillId="2" borderId="13" xfId="1" applyNumberFormat="1" applyFont="1" applyFill="1" applyBorder="1"/>
    <xf numFmtId="166" fontId="25" fillId="2" borderId="13" xfId="1" applyNumberFormat="1" applyFont="1" applyFill="1" applyBorder="1"/>
    <xf numFmtId="166" fontId="0" fillId="2" borderId="11" xfId="1" applyNumberFormat="1" applyFont="1" applyFill="1" applyBorder="1"/>
    <xf numFmtId="0" fontId="32" fillId="2" borderId="0" xfId="0" applyFont="1" applyFill="1"/>
    <xf numFmtId="0" fontId="33" fillId="2" borderId="0" xfId="0" applyFont="1" applyFill="1"/>
    <xf numFmtId="0" fontId="31" fillId="0" borderId="0" xfId="0" applyFont="1"/>
    <xf numFmtId="169" fontId="13" fillId="2" borderId="0" xfId="1" applyNumberFormat="1" applyFont="1" applyFill="1" applyAlignment="1">
      <alignment horizontal="right"/>
    </xf>
    <xf numFmtId="169" fontId="34" fillId="2" borderId="0" xfId="1" applyNumberFormat="1" applyFont="1" applyFill="1" applyAlignment="1">
      <alignment horizontal="right"/>
    </xf>
    <xf numFmtId="164" fontId="14" fillId="2" borderId="0" xfId="1" applyFont="1" applyFill="1"/>
    <xf numFmtId="0" fontId="6" fillId="0" borderId="0" xfId="0" applyFont="1" applyProtection="1">
      <protection locked="0"/>
    </xf>
    <xf numFmtId="166" fontId="0" fillId="0" borderId="6" xfId="1" applyNumberFormat="1" applyFont="1" applyFill="1" applyBorder="1"/>
    <xf numFmtId="166" fontId="0" fillId="0" borderId="12" xfId="1" applyNumberFormat="1" applyFont="1" applyFill="1" applyBorder="1"/>
    <xf numFmtId="166" fontId="6" fillId="0" borderId="12" xfId="1" applyNumberFormat="1" applyFont="1" applyFill="1" applyBorder="1"/>
    <xf numFmtId="166" fontId="0" fillId="0" borderId="7" xfId="1" applyNumberFormat="1" applyFont="1" applyFill="1" applyBorder="1"/>
    <xf numFmtId="166" fontId="6" fillId="0" borderId="8" xfId="1" applyNumberFormat="1" applyFont="1" applyFill="1" applyBorder="1"/>
    <xf numFmtId="166" fontId="6" fillId="0" borderId="0" xfId="1" applyNumberFormat="1" applyFont="1" applyFill="1" applyBorder="1"/>
    <xf numFmtId="166" fontId="11" fillId="0" borderId="0" xfId="1" applyNumberFormat="1" applyFont="1" applyFill="1" applyBorder="1"/>
    <xf numFmtId="166" fontId="0" fillId="0" borderId="0" xfId="1" applyNumberFormat="1" applyFont="1" applyFill="1" applyBorder="1"/>
    <xf numFmtId="166" fontId="0" fillId="0" borderId="9" xfId="1" applyNumberFormat="1" applyFont="1" applyFill="1" applyBorder="1"/>
    <xf numFmtId="166" fontId="11" fillId="0" borderId="9" xfId="1" applyNumberFormat="1" applyFont="1" applyFill="1" applyBorder="1"/>
    <xf numFmtId="169" fontId="0" fillId="0" borderId="10" xfId="1" applyNumberFormat="1" applyFont="1" applyFill="1" applyBorder="1"/>
    <xf numFmtId="169" fontId="0" fillId="0" borderId="13" xfId="1" applyNumberFormat="1" applyFont="1" applyFill="1" applyBorder="1"/>
    <xf numFmtId="169" fontId="6" fillId="0" borderId="13" xfId="1" applyNumberFormat="1" applyFont="1" applyFill="1" applyBorder="1"/>
    <xf numFmtId="169" fontId="0" fillId="0" borderId="11" xfId="1" applyNumberFormat="1" applyFont="1" applyFill="1" applyBorder="1"/>
    <xf numFmtId="15" fontId="6" fillId="0" borderId="0" xfId="0" applyNumberFormat="1" applyFont="1" applyProtection="1">
      <protection locked="0"/>
    </xf>
    <xf numFmtId="0" fontId="0" fillId="0" borderId="0" xfId="0" applyAlignment="1">
      <alignment horizontal="left" vertical="center"/>
    </xf>
    <xf numFmtId="0" fontId="0" fillId="0" borderId="0" xfId="0" applyAlignment="1">
      <alignment horizontal="right"/>
    </xf>
    <xf numFmtId="0" fontId="0" fillId="0" borderId="0" xfId="0" applyAlignment="1">
      <alignment horizontal="center"/>
    </xf>
    <xf numFmtId="1" fontId="0" fillId="0" borderId="0" xfId="0" applyNumberFormat="1"/>
    <xf numFmtId="0" fontId="0" fillId="6" borderId="0" xfId="0" applyFill="1"/>
    <xf numFmtId="0" fontId="4" fillId="6" borderId="0" xfId="0" applyFont="1" applyFill="1"/>
    <xf numFmtId="166" fontId="0" fillId="0" borderId="0" xfId="1" applyNumberFormat="1" applyFont="1" applyFill="1"/>
    <xf numFmtId="9" fontId="6" fillId="0" borderId="0" xfId="0" applyNumberFormat="1" applyFont="1" applyProtection="1">
      <protection locked="0"/>
    </xf>
    <xf numFmtId="165" fontId="0" fillId="0" borderId="12" xfId="1" applyNumberFormat="1" applyFont="1" applyFill="1" applyBorder="1"/>
    <xf numFmtId="2" fontId="0" fillId="0" borderId="0" xfId="0" applyNumberFormat="1"/>
    <xf numFmtId="171" fontId="0" fillId="2" borderId="0" xfId="3" applyNumberFormat="1" applyFont="1" applyFill="1"/>
    <xf numFmtId="0" fontId="0" fillId="0" borderId="6" xfId="0" applyBorder="1"/>
    <xf numFmtId="0" fontId="0" fillId="0" borderId="12"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3" xfId="0" applyBorder="1"/>
    <xf numFmtId="0" fontId="0" fillId="0" borderId="11" xfId="0" applyBorder="1"/>
    <xf numFmtId="172" fontId="0" fillId="0" borderId="0" xfId="0" applyNumberFormat="1"/>
    <xf numFmtId="0" fontId="1" fillId="0" borderId="6" xfId="0" applyFont="1" applyBorder="1"/>
    <xf numFmtId="2" fontId="0" fillId="0" borderId="9" xfId="0" applyNumberFormat="1" applyBorder="1"/>
    <xf numFmtId="172" fontId="0" fillId="0" borderId="9" xfId="0" applyNumberFormat="1" applyBorder="1"/>
    <xf numFmtId="172" fontId="0" fillId="0" borderId="11" xfId="0" applyNumberFormat="1" applyBorder="1"/>
    <xf numFmtId="164" fontId="0" fillId="7" borderId="0" xfId="1" applyFont="1" applyFill="1" applyBorder="1"/>
    <xf numFmtId="9" fontId="6" fillId="3" borderId="9" xfId="2" applyFont="1" applyFill="1" applyBorder="1"/>
    <xf numFmtId="164" fontId="0" fillId="7" borderId="6" xfId="1" applyFont="1" applyFill="1" applyBorder="1"/>
    <xf numFmtId="164" fontId="0" fillId="7" borderId="12" xfId="1" applyFont="1" applyFill="1" applyBorder="1"/>
    <xf numFmtId="164" fontId="0" fillId="7" borderId="7" xfId="1" applyFont="1" applyFill="1" applyBorder="1"/>
    <xf numFmtId="164" fontId="0" fillId="7" borderId="8" xfId="1" applyFont="1" applyFill="1" applyBorder="1"/>
    <xf numFmtId="164" fontId="0" fillId="7" borderId="9" xfId="1" applyFont="1" applyFill="1" applyBorder="1"/>
    <xf numFmtId="164" fontId="0" fillId="7" borderId="10" xfId="1" applyFont="1" applyFill="1" applyBorder="1"/>
    <xf numFmtId="164" fontId="0" fillId="7" borderId="13" xfId="1" applyFont="1" applyFill="1" applyBorder="1"/>
    <xf numFmtId="164" fontId="0" fillId="7" borderId="11" xfId="1" applyFont="1" applyFill="1" applyBorder="1"/>
    <xf numFmtId="173" fontId="0" fillId="0" borderId="0" xfId="0" applyNumberFormat="1"/>
    <xf numFmtId="0" fontId="6" fillId="3" borderId="9" xfId="0" applyFont="1" applyFill="1" applyBorder="1"/>
    <xf numFmtId="0" fontId="11" fillId="3" borderId="9" xfId="0" applyFont="1" applyFill="1" applyBorder="1"/>
    <xf numFmtId="0" fontId="0" fillId="3" borderId="11" xfId="0" applyFill="1" applyBorder="1"/>
    <xf numFmtId="0" fontId="11" fillId="0" borderId="6" xfId="0" applyFont="1" applyBorder="1"/>
    <xf numFmtId="0" fontId="11" fillId="3" borderId="7" xfId="0" applyFont="1" applyFill="1" applyBorder="1"/>
    <xf numFmtId="164" fontId="0" fillId="2" borderId="0" xfId="1" applyFont="1" applyFill="1" applyBorder="1"/>
    <xf numFmtId="164" fontId="0" fillId="2" borderId="9" xfId="1" applyFont="1" applyFill="1" applyBorder="1"/>
    <xf numFmtId="0" fontId="11" fillId="2" borderId="8" xfId="0" applyFont="1" applyFill="1" applyBorder="1"/>
    <xf numFmtId="165" fontId="0" fillId="0" borderId="7" xfId="1" applyNumberFormat="1" applyFont="1" applyFill="1" applyBorder="1"/>
    <xf numFmtId="165" fontId="0" fillId="0" borderId="0" xfId="1" applyNumberFormat="1" applyFont="1" applyFill="1" applyBorder="1"/>
    <xf numFmtId="165" fontId="0" fillId="0" borderId="9" xfId="1" applyNumberFormat="1" applyFont="1" applyFill="1" applyBorder="1"/>
    <xf numFmtId="165" fontId="0" fillId="0" borderId="13" xfId="1" applyNumberFormat="1" applyFont="1" applyFill="1" applyBorder="1"/>
    <xf numFmtId="165" fontId="0" fillId="0" borderId="11" xfId="1" applyNumberFormat="1" applyFont="1" applyFill="1" applyBorder="1"/>
    <xf numFmtId="166" fontId="0" fillId="2" borderId="0" xfId="1" applyNumberFormat="1" applyFont="1" applyFill="1" applyBorder="1" applyAlignment="1">
      <alignment horizontal="right"/>
    </xf>
    <xf numFmtId="166" fontId="0" fillId="2" borderId="9" xfId="1" applyNumberFormat="1" applyFont="1" applyFill="1" applyBorder="1" applyAlignment="1">
      <alignment horizontal="right"/>
    </xf>
    <xf numFmtId="166" fontId="0" fillId="2" borderId="13" xfId="1" applyNumberFormat="1" applyFont="1" applyFill="1" applyBorder="1" applyAlignment="1">
      <alignment horizontal="right"/>
    </xf>
    <xf numFmtId="166" fontId="0" fillId="2" borderId="11" xfId="1" applyNumberFormat="1" applyFont="1" applyFill="1" applyBorder="1" applyAlignment="1">
      <alignment horizontal="right"/>
    </xf>
    <xf numFmtId="1" fontId="0" fillId="0" borderId="13" xfId="0" applyNumberFormat="1" applyBorder="1"/>
    <xf numFmtId="164" fontId="35" fillId="0" borderId="0" xfId="1" applyFont="1" applyFill="1" applyProtection="1">
      <protection locked="0"/>
    </xf>
    <xf numFmtId="0" fontId="0" fillId="2" borderId="0" xfId="0" applyFill="1" applyAlignment="1">
      <alignment horizontal="left"/>
    </xf>
    <xf numFmtId="14" fontId="1" fillId="0" borderId="0" xfId="0" applyNumberFormat="1" applyFont="1" applyAlignment="1">
      <alignment horizontal="left" wrapText="1"/>
    </xf>
    <xf numFmtId="0" fontId="0" fillId="0" borderId="7" xfId="0" applyBorder="1" applyAlignment="1">
      <alignment horizontal="right"/>
    </xf>
    <xf numFmtId="14" fontId="0" fillId="0" borderId="11" xfId="0" applyNumberFormat="1" applyBorder="1"/>
    <xf numFmtId="0" fontId="11" fillId="0" borderId="8" xfId="0" applyFont="1" applyBorder="1"/>
    <xf numFmtId="0" fontId="11" fillId="3" borderId="9" xfId="0" applyFont="1" applyFill="1" applyBorder="1" applyAlignment="1">
      <alignment horizontal="right"/>
    </xf>
    <xf numFmtId="0" fontId="6" fillId="3" borderId="9" xfId="2" applyNumberFormat="1" applyFont="1" applyFill="1" applyBorder="1" applyAlignment="1">
      <alignment horizontal="right"/>
    </xf>
    <xf numFmtId="0" fontId="11" fillId="2" borderId="0" xfId="0" applyFont="1" applyFill="1" applyAlignment="1">
      <alignment wrapText="1"/>
    </xf>
    <xf numFmtId="0" fontId="0" fillId="3" borderId="9" xfId="0" applyFill="1" applyBorder="1"/>
    <xf numFmtId="1" fontId="0" fillId="0" borderId="11" xfId="0" applyNumberFormat="1" applyBorder="1"/>
    <xf numFmtId="1" fontId="0" fillId="0" borderId="12" xfId="0" applyNumberFormat="1" applyBorder="1"/>
    <xf numFmtId="1" fontId="0" fillId="0" borderId="7" xfId="0" applyNumberFormat="1" applyBorder="1"/>
    <xf numFmtId="1" fontId="0" fillId="0" borderId="9" xfId="0" applyNumberFormat="1" applyBorder="1"/>
    <xf numFmtId="1" fontId="0" fillId="0" borderId="6" xfId="0" applyNumberFormat="1" applyBorder="1"/>
    <xf numFmtId="1" fontId="0" fillId="0" borderId="8" xfId="0" applyNumberFormat="1" applyBorder="1"/>
    <xf numFmtId="1" fontId="0" fillId="0" borderId="10" xfId="0" applyNumberFormat="1" applyBorder="1"/>
    <xf numFmtId="0" fontId="6" fillId="0" borderId="0" xfId="0" applyFont="1" applyAlignment="1" applyProtection="1">
      <alignment horizontal="right"/>
      <protection locked="0"/>
    </xf>
    <xf numFmtId="15" fontId="6" fillId="0" borderId="0" xfId="0" applyNumberFormat="1" applyFont="1" applyAlignment="1" applyProtection="1">
      <alignment horizontal="right"/>
      <protection locked="0"/>
    </xf>
    <xf numFmtId="164" fontId="6" fillId="0" borderId="0" xfId="1" applyFont="1" applyFill="1" applyAlignment="1" applyProtection="1">
      <alignment horizontal="right"/>
      <protection locked="0"/>
    </xf>
    <xf numFmtId="0" fontId="1" fillId="2" borderId="0" xfId="0" applyFont="1" applyFill="1" applyAlignment="1">
      <alignment horizontal="right" wrapText="1"/>
    </xf>
    <xf numFmtId="166" fontId="1" fillId="2" borderId="0" xfId="1" applyNumberFormat="1" applyFont="1" applyFill="1"/>
    <xf numFmtId="0" fontId="1" fillId="2" borderId="0" xfId="0" applyFont="1" applyFill="1" applyAlignment="1">
      <alignment horizontal="right"/>
    </xf>
    <xf numFmtId="0" fontId="1" fillId="2" borderId="12" xfId="0" applyFont="1" applyFill="1" applyBorder="1"/>
    <xf numFmtId="0" fontId="1" fillId="2" borderId="7" xfId="0" applyFont="1" applyFill="1" applyBorder="1"/>
    <xf numFmtId="0" fontId="0" fillId="2" borderId="9" xfId="0" applyFill="1" applyBorder="1" applyAlignment="1">
      <alignment horizontal="right"/>
    </xf>
    <xf numFmtId="0" fontId="0" fillId="2" borderId="13" xfId="0" applyFill="1" applyBorder="1" applyAlignment="1">
      <alignment horizontal="right"/>
    </xf>
    <xf numFmtId="171" fontId="0" fillId="2" borderId="0" xfId="0" applyNumberFormat="1" applyFill="1" applyAlignment="1">
      <alignment horizontal="right"/>
    </xf>
    <xf numFmtId="171" fontId="0" fillId="2" borderId="9" xfId="0" applyNumberFormat="1" applyFill="1" applyBorder="1" applyAlignment="1">
      <alignment horizontal="right"/>
    </xf>
    <xf numFmtId="171" fontId="0" fillId="2" borderId="13" xfId="0" applyNumberFormat="1" applyFill="1" applyBorder="1" applyAlignment="1">
      <alignment horizontal="right"/>
    </xf>
    <xf numFmtId="171" fontId="0" fillId="2" borderId="11" xfId="0" applyNumberFormat="1" applyFill="1" applyBorder="1" applyAlignment="1">
      <alignment horizontal="right"/>
    </xf>
    <xf numFmtId="9" fontId="0" fillId="2" borderId="0" xfId="2" applyFont="1" applyFill="1" applyBorder="1" applyAlignment="1">
      <alignment horizontal="right"/>
    </xf>
    <xf numFmtId="1" fontId="0" fillId="2" borderId="0" xfId="0" applyNumberFormat="1" applyFill="1" applyAlignment="1">
      <alignment horizontal="right"/>
    </xf>
    <xf numFmtId="0" fontId="0" fillId="2" borderId="12" xfId="0" applyFill="1" applyBorder="1" applyAlignment="1">
      <alignment horizontal="right"/>
    </xf>
    <xf numFmtId="171" fontId="0" fillId="2" borderId="12" xfId="0" applyNumberFormat="1" applyFill="1" applyBorder="1" applyAlignment="1">
      <alignment horizontal="right"/>
    </xf>
    <xf numFmtId="171" fontId="0" fillId="2" borderId="7" xfId="0" applyNumberFormat="1" applyFill="1" applyBorder="1" applyAlignment="1">
      <alignment horizontal="right"/>
    </xf>
    <xf numFmtId="9" fontId="0" fillId="2" borderId="12" xfId="2" applyFont="1" applyFill="1" applyBorder="1" applyAlignment="1">
      <alignment horizontal="right"/>
    </xf>
    <xf numFmtId="9" fontId="0" fillId="2" borderId="13" xfId="2" applyFont="1" applyFill="1" applyBorder="1" applyAlignment="1">
      <alignment horizontal="right"/>
    </xf>
    <xf numFmtId="1" fontId="0" fillId="2" borderId="12" xfId="0" applyNumberFormat="1" applyFill="1" applyBorder="1" applyAlignment="1">
      <alignment horizontal="right"/>
    </xf>
    <xf numFmtId="1" fontId="0" fillId="2" borderId="13" xfId="0" applyNumberFormat="1" applyFill="1" applyBorder="1" applyAlignment="1">
      <alignment horizontal="right"/>
    </xf>
    <xf numFmtId="0" fontId="4" fillId="2" borderId="14" xfId="0" applyFont="1" applyFill="1" applyBorder="1"/>
    <xf numFmtId="0" fontId="0" fillId="2" borderId="15" xfId="0" applyFill="1" applyBorder="1" applyAlignment="1">
      <alignment horizontal="center" wrapText="1"/>
    </xf>
    <xf numFmtId="0" fontId="0" fillId="2" borderId="16" xfId="0" applyFill="1" applyBorder="1" applyAlignment="1">
      <alignment horizontal="center" wrapText="1"/>
    </xf>
    <xf numFmtId="164" fontId="0" fillId="2" borderId="12" xfId="1" applyFont="1" applyFill="1" applyBorder="1"/>
    <xf numFmtId="164" fontId="0" fillId="2" borderId="7" xfId="1" applyFont="1" applyFill="1" applyBorder="1"/>
    <xf numFmtId="164" fontId="0" fillId="2" borderId="13" xfId="1" applyFont="1" applyFill="1" applyBorder="1"/>
    <xf numFmtId="164" fontId="0" fillId="2" borderId="11" xfId="1" applyFont="1" applyFill="1" applyBorder="1"/>
    <xf numFmtId="0" fontId="0" fillId="2" borderId="20" xfId="0" applyFill="1" applyBorder="1"/>
    <xf numFmtId="0" fontId="0" fillId="2" borderId="1" xfId="0" applyFill="1" applyBorder="1" applyAlignment="1">
      <alignment horizontal="right" wrapText="1"/>
    </xf>
    <xf numFmtId="166" fontId="0" fillId="2" borderId="1" xfId="1" applyNumberFormat="1" applyFont="1" applyFill="1" applyBorder="1"/>
    <xf numFmtId="164" fontId="0" fillId="2" borderId="1" xfId="1" applyFont="1" applyFill="1" applyBorder="1"/>
    <xf numFmtId="164" fontId="0" fillId="2" borderId="21" xfId="1" applyFont="1" applyFill="1" applyBorder="1"/>
    <xf numFmtId="0" fontId="0" fillId="2" borderId="22" xfId="0" applyFill="1" applyBorder="1"/>
    <xf numFmtId="164" fontId="0" fillId="2" borderId="23" xfId="1" applyFont="1" applyFill="1" applyBorder="1"/>
    <xf numFmtId="0" fontId="0" fillId="2" borderId="24" xfId="0" applyFill="1" applyBorder="1"/>
    <xf numFmtId="164" fontId="0" fillId="2" borderId="25" xfId="1" applyFont="1" applyFill="1" applyBorder="1"/>
    <xf numFmtId="166" fontId="0" fillId="2" borderId="25" xfId="1" applyNumberFormat="1" applyFont="1" applyFill="1" applyBorder="1"/>
    <xf numFmtId="164" fontId="0" fillId="2" borderId="26" xfId="1" applyFont="1" applyFill="1" applyBorder="1"/>
    <xf numFmtId="166" fontId="0" fillId="2" borderId="23" xfId="1" applyNumberFormat="1" applyFont="1" applyFill="1" applyBorder="1"/>
    <xf numFmtId="0" fontId="11" fillId="2" borderId="24" xfId="0" applyFont="1" applyFill="1" applyBorder="1"/>
    <xf numFmtId="166" fontId="0" fillId="2" borderId="26" xfId="1" applyNumberFormat="1" applyFont="1" applyFill="1" applyBorder="1"/>
    <xf numFmtId="9" fontId="0" fillId="2" borderId="1" xfId="2" applyFont="1" applyFill="1" applyBorder="1"/>
    <xf numFmtId="166" fontId="0" fillId="2" borderId="21" xfId="1" applyNumberFormat="1" applyFont="1" applyFill="1" applyBorder="1"/>
    <xf numFmtId="0" fontId="0" fillId="2" borderId="25" xfId="0" applyFill="1" applyBorder="1"/>
    <xf numFmtId="0" fontId="11" fillId="2" borderId="0" xfId="0" applyFont="1" applyFill="1" applyAlignment="1">
      <alignment horizontal="right"/>
    </xf>
    <xf numFmtId="0" fontId="12" fillId="0" borderId="0" xfId="1" applyNumberFormat="1" applyFont="1" applyFill="1" applyProtection="1">
      <protection locked="0"/>
    </xf>
    <xf numFmtId="1" fontId="6" fillId="0" borderId="0" xfId="0" applyNumberFormat="1" applyFont="1" applyAlignment="1" applyProtection="1">
      <alignment horizontal="right"/>
      <protection locked="0"/>
    </xf>
    <xf numFmtId="0" fontId="37" fillId="2" borderId="0" xfId="0" applyFont="1" applyFill="1"/>
    <xf numFmtId="0" fontId="0" fillId="8" borderId="0" xfId="0" applyFill="1"/>
    <xf numFmtId="0" fontId="0" fillId="8" borderId="14" xfId="0" applyFill="1" applyBorder="1"/>
    <xf numFmtId="0" fontId="0" fillId="8" borderId="15" xfId="0" applyFill="1" applyBorder="1"/>
    <xf numFmtId="0" fontId="0" fillId="8" borderId="16" xfId="0" applyFill="1" applyBorder="1"/>
    <xf numFmtId="0" fontId="1" fillId="8" borderId="0" xfId="0" applyFont="1" applyFill="1"/>
    <xf numFmtId="174" fontId="6" fillId="8" borderId="0" xfId="2" applyNumberFormat="1" applyFont="1" applyFill="1"/>
    <xf numFmtId="174" fontId="6" fillId="8" borderId="0" xfId="0" applyNumberFormat="1" applyFont="1" applyFill="1"/>
    <xf numFmtId="165" fontId="0" fillId="8" borderId="0" xfId="1" applyNumberFormat="1" applyFont="1" applyFill="1"/>
    <xf numFmtId="17" fontId="0" fillId="8" borderId="0" xfId="0" applyNumberFormat="1" applyFill="1"/>
    <xf numFmtId="9" fontId="6" fillId="8" borderId="0" xfId="0" applyNumberFormat="1" applyFont="1" applyFill="1"/>
    <xf numFmtId="0" fontId="6" fillId="8" borderId="0" xfId="0" applyFont="1" applyFill="1"/>
    <xf numFmtId="170" fontId="6" fillId="8" borderId="0" xfId="1" applyNumberFormat="1" applyFont="1" applyFill="1" applyBorder="1"/>
    <xf numFmtId="170" fontId="29" fillId="8" borderId="0" xfId="1" applyNumberFormat="1" applyFont="1" applyFill="1" applyBorder="1"/>
    <xf numFmtId="164" fontId="0" fillId="8" borderId="0" xfId="1" applyFont="1" applyFill="1"/>
    <xf numFmtId="0" fontId="38" fillId="8" borderId="0" xfId="0" applyFont="1" applyFill="1"/>
    <xf numFmtId="0" fontId="38" fillId="8" borderId="0" xfId="0" applyFont="1" applyFill="1" applyAlignment="1">
      <alignment horizontal="right"/>
    </xf>
    <xf numFmtId="0" fontId="11" fillId="3" borderId="0" xfId="0" applyFont="1" applyFill="1"/>
    <xf numFmtId="17" fontId="39" fillId="8" borderId="0" xfId="0" applyNumberFormat="1" applyFont="1" applyFill="1"/>
    <xf numFmtId="0" fontId="0" fillId="3" borderId="0" xfId="0" applyFill="1" applyAlignment="1">
      <alignment horizontal="right"/>
    </xf>
    <xf numFmtId="175" fontId="0" fillId="2" borderId="0" xfId="1" applyNumberFormat="1" applyFont="1" applyFill="1"/>
    <xf numFmtId="175" fontId="25" fillId="2" borderId="0" xfId="1" applyNumberFormat="1" applyFont="1" applyFill="1"/>
    <xf numFmtId="175" fontId="24" fillId="2" borderId="0" xfId="1" applyNumberFormat="1" applyFont="1" applyFill="1"/>
    <xf numFmtId="175" fontId="6" fillId="2" borderId="0" xfId="1" applyNumberFormat="1" applyFont="1" applyFill="1"/>
    <xf numFmtId="175" fontId="6" fillId="0" borderId="0" xfId="1" applyNumberFormat="1" applyFont="1" applyFill="1" applyProtection="1">
      <protection locked="0"/>
    </xf>
    <xf numFmtId="175" fontId="6" fillId="2" borderId="0" xfId="1" applyNumberFormat="1" applyFont="1" applyFill="1" applyBorder="1"/>
    <xf numFmtId="166" fontId="23" fillId="2" borderId="0" xfId="1" quotePrefix="1" applyNumberFormat="1" applyFont="1" applyFill="1" applyAlignment="1">
      <alignment vertical="top" wrapText="1"/>
    </xf>
  </cellXfs>
  <cellStyles count="4">
    <cellStyle name="Comma" xfId="1" builtinId="3" customBuiltin="1"/>
    <cellStyle name="Currency" xfId="3" builtinId="4"/>
    <cellStyle name="Normal" xfId="0" builtinId="0"/>
    <cellStyle name="Percent" xfId="2" builtinId="5"/>
  </cellStyles>
  <dxfs count="0"/>
  <tableStyles count="0" defaultTableStyle="TableStyleMedium2" defaultPivotStyle="PivotStyleLight16"/>
  <colors>
    <mruColors>
      <color rgb="FFFFFFCC"/>
      <color rgb="FFFF00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15771419661651"/>
          <c:y val="4.9493830808333104E-2"/>
          <c:w val="0.66814197730234215"/>
          <c:h val="0.77464882591235118"/>
        </c:manualLayout>
      </c:layout>
      <c:scatterChart>
        <c:scatterStyle val="lineMarker"/>
        <c:varyColors val="0"/>
        <c:ser>
          <c:idx val="0"/>
          <c:order val="0"/>
          <c:tx>
            <c:strRef>
              <c:f>Data!$F$175</c:f>
              <c:strCache>
                <c:ptCount val="1"/>
                <c:pt idx="0">
                  <c:v>3 yr</c:v>
                </c:pt>
              </c:strCache>
            </c:strRef>
          </c:tx>
          <c:spPr>
            <a:ln w="19050" cap="rnd">
              <a:solidFill>
                <a:schemeClr val="accent1"/>
              </a:solidFill>
              <a:round/>
            </a:ln>
            <a:effectLst/>
          </c:spPr>
          <c:marker>
            <c:symbol val="none"/>
          </c:marker>
          <c:xVal>
            <c:numRef>
              <c:f>Data!$E$176:$E$181</c:f>
              <c:numCache>
                <c:formatCode>#,##0.00_ ;\-#,##0.00\ </c:formatCode>
                <c:ptCount val="6"/>
                <c:pt idx="0">
                  <c:v>10.000000000000002</c:v>
                </c:pt>
                <c:pt idx="1">
                  <c:v>6.6666666666666661</c:v>
                </c:pt>
                <c:pt idx="2">
                  <c:v>5</c:v>
                </c:pt>
                <c:pt idx="3">
                  <c:v>3</c:v>
                </c:pt>
                <c:pt idx="4">
                  <c:v>2.5</c:v>
                </c:pt>
                <c:pt idx="5">
                  <c:v>2</c:v>
                </c:pt>
              </c:numCache>
            </c:numRef>
          </c:xVal>
          <c:yVal>
            <c:numRef>
              <c:f>Data!$F$176:$F$181</c:f>
              <c:numCache>
                <c:formatCode>0.0%</c:formatCode>
                <c:ptCount val="6"/>
                <c:pt idx="0">
                  <c:v>-0.42441744383163083</c:v>
                </c:pt>
                <c:pt idx="1">
                  <c:v>-0.31337518335359105</c:v>
                </c:pt>
                <c:pt idx="2">
                  <c:v>-0.21762721730729928</c:v>
                </c:pt>
                <c:pt idx="3">
                  <c:v>4.4408920985006262E-16</c:v>
                </c:pt>
                <c:pt idx="4">
                  <c:v>9.7010257403278954E-2</c:v>
                </c:pt>
                <c:pt idx="5">
                  <c:v>0.23375192852825699</c:v>
                </c:pt>
              </c:numCache>
            </c:numRef>
          </c:yVal>
          <c:smooth val="0"/>
          <c:extLst>
            <c:ext xmlns:c16="http://schemas.microsoft.com/office/drawing/2014/chart" uri="{C3380CC4-5D6E-409C-BE32-E72D297353CC}">
              <c16:uniqueId val="{00000000-C15E-4256-92E1-11244ADE3F98}"/>
            </c:ext>
          </c:extLst>
        </c:ser>
        <c:ser>
          <c:idx val="1"/>
          <c:order val="1"/>
          <c:tx>
            <c:strRef>
              <c:f>Data!$G$175</c:f>
              <c:strCache>
                <c:ptCount val="1"/>
                <c:pt idx="0">
                  <c:v>6 yr</c:v>
                </c:pt>
              </c:strCache>
            </c:strRef>
          </c:tx>
          <c:spPr>
            <a:ln w="19050" cap="rnd">
              <a:solidFill>
                <a:schemeClr val="accent2"/>
              </a:solidFill>
              <a:round/>
            </a:ln>
            <a:effectLst/>
          </c:spPr>
          <c:marker>
            <c:symbol val="none"/>
          </c:marker>
          <c:xVal>
            <c:numRef>
              <c:f>Data!$E$176:$E$181</c:f>
              <c:numCache>
                <c:formatCode>#,##0.00_ ;\-#,##0.00\ </c:formatCode>
                <c:ptCount val="6"/>
                <c:pt idx="0">
                  <c:v>10.000000000000002</c:v>
                </c:pt>
                <c:pt idx="1">
                  <c:v>6.6666666666666661</c:v>
                </c:pt>
                <c:pt idx="2">
                  <c:v>5</c:v>
                </c:pt>
                <c:pt idx="3">
                  <c:v>3</c:v>
                </c:pt>
                <c:pt idx="4">
                  <c:v>2.5</c:v>
                </c:pt>
                <c:pt idx="5">
                  <c:v>2</c:v>
                </c:pt>
              </c:numCache>
            </c:numRef>
          </c:xVal>
          <c:yVal>
            <c:numRef>
              <c:f>Data!$G$176:$G$181</c:f>
              <c:numCache>
                <c:formatCode>0.0%</c:formatCode>
                <c:ptCount val="6"/>
                <c:pt idx="0">
                  <c:v>-0.12894923114876744</c:v>
                </c:pt>
                <c:pt idx="1">
                  <c:v>-2.9296980699239694E-2</c:v>
                </c:pt>
                <c:pt idx="2">
                  <c:v>5.4717925023537228E-2</c:v>
                </c:pt>
                <c:pt idx="3">
                  <c:v>0.24292472610028781</c:v>
                </c:pt>
                <c:pt idx="4">
                  <c:v>0.32661923080512989</c:v>
                </c:pt>
                <c:pt idx="5">
                  <c:v>0.44509832109163261</c:v>
                </c:pt>
              </c:numCache>
            </c:numRef>
          </c:yVal>
          <c:smooth val="0"/>
          <c:extLst>
            <c:ext xmlns:c16="http://schemas.microsoft.com/office/drawing/2014/chart" uri="{C3380CC4-5D6E-409C-BE32-E72D297353CC}">
              <c16:uniqueId val="{00000001-C15E-4256-92E1-11244ADE3F98}"/>
            </c:ext>
          </c:extLst>
        </c:ser>
        <c:ser>
          <c:idx val="2"/>
          <c:order val="2"/>
          <c:tx>
            <c:strRef>
              <c:f>Data!$H$175</c:f>
              <c:strCache>
                <c:ptCount val="1"/>
                <c:pt idx="0">
                  <c:v>9 yr</c:v>
                </c:pt>
              </c:strCache>
            </c:strRef>
          </c:tx>
          <c:spPr>
            <a:ln w="19050" cap="rnd">
              <a:solidFill>
                <a:schemeClr val="accent3"/>
              </a:solidFill>
              <a:round/>
            </a:ln>
            <a:effectLst/>
          </c:spPr>
          <c:marker>
            <c:symbol val="none"/>
          </c:marker>
          <c:xVal>
            <c:numRef>
              <c:f>Data!$E$176:$E$181</c:f>
              <c:numCache>
                <c:formatCode>#,##0.00_ ;\-#,##0.00\ </c:formatCode>
                <c:ptCount val="6"/>
                <c:pt idx="0">
                  <c:v>10.000000000000002</c:v>
                </c:pt>
                <c:pt idx="1">
                  <c:v>6.6666666666666661</c:v>
                </c:pt>
                <c:pt idx="2">
                  <c:v>5</c:v>
                </c:pt>
                <c:pt idx="3">
                  <c:v>3</c:v>
                </c:pt>
                <c:pt idx="4">
                  <c:v>2.5</c:v>
                </c:pt>
                <c:pt idx="5">
                  <c:v>2</c:v>
                </c:pt>
              </c:numCache>
            </c:numRef>
          </c:xVal>
          <c:yVal>
            <c:numRef>
              <c:f>Data!$H$176:$H$181</c:f>
              <c:numCache>
                <c:formatCode>0.0%</c:formatCode>
                <c:ptCount val="6"/>
                <c:pt idx="0">
                  <c:v>-2.0569696650137526E-2</c:v>
                </c:pt>
                <c:pt idx="1">
                  <c:v>6.4631639639261218E-2</c:v>
                </c:pt>
                <c:pt idx="2">
                  <c:v>0.13704474216582518</c:v>
                </c:pt>
                <c:pt idx="3">
                  <c:v>0.30242240773494822</c:v>
                </c:pt>
                <c:pt idx="4">
                  <c:v>0.37761789001519541</c:v>
                </c:pt>
                <c:pt idx="5">
                  <c:v>0.48583435182836499</c:v>
                </c:pt>
              </c:numCache>
            </c:numRef>
          </c:yVal>
          <c:smooth val="0"/>
          <c:extLst>
            <c:ext xmlns:c16="http://schemas.microsoft.com/office/drawing/2014/chart" uri="{C3380CC4-5D6E-409C-BE32-E72D297353CC}">
              <c16:uniqueId val="{00000002-C15E-4256-92E1-11244ADE3F98}"/>
            </c:ext>
          </c:extLst>
        </c:ser>
        <c:ser>
          <c:idx val="3"/>
          <c:order val="3"/>
          <c:tx>
            <c:strRef>
              <c:f>Data!$I$175</c:f>
              <c:strCache>
                <c:ptCount val="1"/>
                <c:pt idx="0">
                  <c:v>12 yr</c:v>
                </c:pt>
              </c:strCache>
            </c:strRef>
          </c:tx>
          <c:spPr>
            <a:ln w="19050" cap="rnd">
              <a:solidFill>
                <a:schemeClr val="accent4"/>
              </a:solidFill>
              <a:round/>
            </a:ln>
            <a:effectLst/>
          </c:spPr>
          <c:marker>
            <c:symbol val="none"/>
          </c:marker>
          <c:xVal>
            <c:numRef>
              <c:f>Data!$E$176:$E$181</c:f>
              <c:numCache>
                <c:formatCode>#,##0.00_ ;\-#,##0.00\ </c:formatCode>
                <c:ptCount val="6"/>
                <c:pt idx="0">
                  <c:v>10.000000000000002</c:v>
                </c:pt>
                <c:pt idx="1">
                  <c:v>6.6666666666666661</c:v>
                </c:pt>
                <c:pt idx="2">
                  <c:v>5</c:v>
                </c:pt>
                <c:pt idx="3">
                  <c:v>3</c:v>
                </c:pt>
                <c:pt idx="4">
                  <c:v>2.5</c:v>
                </c:pt>
                <c:pt idx="5">
                  <c:v>2</c:v>
                </c:pt>
              </c:numCache>
            </c:numRef>
          </c:xVal>
          <c:yVal>
            <c:numRef>
              <c:f>Data!$I$176:$I$181</c:f>
              <c:numCache>
                <c:formatCode>0.0%</c:formatCode>
                <c:ptCount val="6"/>
                <c:pt idx="0">
                  <c:v>2.9228540769161704E-2</c:v>
                </c:pt>
                <c:pt idx="1">
                  <c:v>0.10448109218516977</c:v>
                </c:pt>
                <c:pt idx="2">
                  <c:v>0.16942550857963279</c:v>
                </c:pt>
                <c:pt idx="3">
                  <c:v>0.32159222651362929</c:v>
                </c:pt>
                <c:pt idx="4">
                  <c:v>0.39247306152752892</c:v>
                </c:pt>
                <c:pt idx="5">
                  <c:v>0.49602153196757071</c:v>
                </c:pt>
              </c:numCache>
            </c:numRef>
          </c:yVal>
          <c:smooth val="0"/>
          <c:extLst>
            <c:ext xmlns:c16="http://schemas.microsoft.com/office/drawing/2014/chart" uri="{C3380CC4-5D6E-409C-BE32-E72D297353CC}">
              <c16:uniqueId val="{00000003-C15E-4256-92E1-11244ADE3F98}"/>
            </c:ext>
          </c:extLst>
        </c:ser>
        <c:ser>
          <c:idx val="4"/>
          <c:order val="4"/>
          <c:tx>
            <c:strRef>
              <c:f>Data!$J$175</c:f>
              <c:strCache>
                <c:ptCount val="1"/>
                <c:pt idx="0">
                  <c:v>15 yr</c:v>
                </c:pt>
              </c:strCache>
            </c:strRef>
          </c:tx>
          <c:spPr>
            <a:ln w="19050" cap="rnd">
              <a:solidFill>
                <a:schemeClr val="accent5"/>
              </a:solidFill>
              <a:round/>
            </a:ln>
            <a:effectLst/>
          </c:spPr>
          <c:marker>
            <c:symbol val="none"/>
          </c:marker>
          <c:xVal>
            <c:numRef>
              <c:f>Data!$E$176:$E$181</c:f>
              <c:numCache>
                <c:formatCode>#,##0.00_ ;\-#,##0.00\ </c:formatCode>
                <c:ptCount val="6"/>
                <c:pt idx="0">
                  <c:v>10.000000000000002</c:v>
                </c:pt>
                <c:pt idx="1">
                  <c:v>6.6666666666666661</c:v>
                </c:pt>
                <c:pt idx="2">
                  <c:v>5</c:v>
                </c:pt>
                <c:pt idx="3">
                  <c:v>3</c:v>
                </c:pt>
                <c:pt idx="4">
                  <c:v>2.5</c:v>
                </c:pt>
                <c:pt idx="5">
                  <c:v>2</c:v>
                </c:pt>
              </c:numCache>
            </c:numRef>
          </c:xVal>
          <c:yVal>
            <c:numRef>
              <c:f>Data!$J$176:$J$181</c:f>
              <c:numCache>
                <c:formatCode>0.0%</c:formatCode>
                <c:ptCount val="6"/>
                <c:pt idx="0">
                  <c:v>5.5564974703630643E-2</c:v>
                </c:pt>
                <c:pt idx="1">
                  <c:v>0.12403450452822384</c:v>
                </c:pt>
                <c:pt idx="2">
                  <c:v>0.18415456837509203</c:v>
                </c:pt>
                <c:pt idx="3">
                  <c:v>0.32863671801584804</c:v>
                </c:pt>
                <c:pt idx="4">
                  <c:v>0.39735479303617671</c:v>
                </c:pt>
                <c:pt idx="5">
                  <c:v>0.49884489999180603</c:v>
                </c:pt>
              </c:numCache>
            </c:numRef>
          </c:yVal>
          <c:smooth val="0"/>
          <c:extLst>
            <c:ext xmlns:c16="http://schemas.microsoft.com/office/drawing/2014/chart" uri="{C3380CC4-5D6E-409C-BE32-E72D297353CC}">
              <c16:uniqueId val="{00000004-C15E-4256-92E1-11244ADE3F98}"/>
            </c:ext>
          </c:extLst>
        </c:ser>
        <c:ser>
          <c:idx val="5"/>
          <c:order val="5"/>
          <c:tx>
            <c:strRef>
              <c:f>Data!$K$175</c:f>
              <c:strCache>
                <c:ptCount val="1"/>
                <c:pt idx="0">
                  <c:v>18 yr</c:v>
                </c:pt>
              </c:strCache>
            </c:strRef>
          </c:tx>
          <c:spPr>
            <a:ln w="19050" cap="rnd">
              <a:solidFill>
                <a:schemeClr val="accent6"/>
              </a:solidFill>
              <a:round/>
            </a:ln>
            <a:effectLst/>
          </c:spPr>
          <c:marker>
            <c:symbol val="none"/>
          </c:marker>
          <c:xVal>
            <c:numRef>
              <c:f>Data!$E$176:$E$181</c:f>
              <c:numCache>
                <c:formatCode>#,##0.00_ ;\-#,##0.00\ </c:formatCode>
                <c:ptCount val="6"/>
                <c:pt idx="0">
                  <c:v>10.000000000000002</c:v>
                </c:pt>
                <c:pt idx="1">
                  <c:v>6.6666666666666661</c:v>
                </c:pt>
                <c:pt idx="2">
                  <c:v>5</c:v>
                </c:pt>
                <c:pt idx="3">
                  <c:v>3</c:v>
                </c:pt>
                <c:pt idx="4">
                  <c:v>2.5</c:v>
                </c:pt>
                <c:pt idx="5">
                  <c:v>2</c:v>
                </c:pt>
              </c:numCache>
            </c:numRef>
          </c:xVal>
          <c:yVal>
            <c:numRef>
              <c:f>Data!$K$176:$K$181</c:f>
              <c:numCache>
                <c:formatCode>0.0%</c:formatCode>
                <c:ptCount val="6"/>
                <c:pt idx="0">
                  <c:v>7.0817602345301323E-2</c:v>
                </c:pt>
                <c:pt idx="1">
                  <c:v>0.13453409556652773</c:v>
                </c:pt>
                <c:pt idx="2">
                  <c:v>0.1914567996034422</c:v>
                </c:pt>
                <c:pt idx="3">
                  <c:v>0.33140448324657834</c:v>
                </c:pt>
                <c:pt idx="4">
                  <c:v>0.39905146455720408</c:v>
                </c:pt>
                <c:pt idx="5">
                  <c:v>0.49966029813641888</c:v>
                </c:pt>
              </c:numCache>
            </c:numRef>
          </c:yVal>
          <c:smooth val="0"/>
          <c:extLst>
            <c:ext xmlns:c16="http://schemas.microsoft.com/office/drawing/2014/chart" uri="{C3380CC4-5D6E-409C-BE32-E72D297353CC}">
              <c16:uniqueId val="{00000005-C15E-4256-92E1-11244ADE3F98}"/>
            </c:ext>
          </c:extLst>
        </c:ser>
        <c:dLbls>
          <c:showLegendKey val="0"/>
          <c:showVal val="0"/>
          <c:showCatName val="0"/>
          <c:showSerName val="0"/>
          <c:showPercent val="0"/>
          <c:showBubbleSize val="0"/>
        </c:dLbls>
        <c:axId val="1372653551"/>
        <c:axId val="1372671439"/>
      </c:scatterChart>
      <c:valAx>
        <c:axId val="1372653551"/>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a:t>Payback (yrs)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_ ;\-#,##0\ "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2671439"/>
        <c:crosses val="autoZero"/>
        <c:crossBetween val="midCat"/>
      </c:valAx>
      <c:valAx>
        <c:axId val="1372671439"/>
        <c:scaling>
          <c:orientation val="minMax"/>
          <c:max val="0.5"/>
          <c:min val="-0.1"/>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a:t>IRR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2653551"/>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4562439083153547E-2"/>
                  <c:y val="-0.2149099528648884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Data!$K$242:$K$252</c:f>
              <c:numCache>
                <c:formatCode>0</c:formatCode>
                <c:ptCount val="11"/>
                <c:pt idx="0">
                  <c:v>121</c:v>
                </c:pt>
                <c:pt idx="1">
                  <c:v>109</c:v>
                </c:pt>
                <c:pt idx="2">
                  <c:v>97</c:v>
                </c:pt>
                <c:pt idx="3">
                  <c:v>85</c:v>
                </c:pt>
                <c:pt idx="4">
                  <c:v>73</c:v>
                </c:pt>
                <c:pt idx="5">
                  <c:v>61</c:v>
                </c:pt>
                <c:pt idx="6">
                  <c:v>49</c:v>
                </c:pt>
                <c:pt idx="7">
                  <c:v>37</c:v>
                </c:pt>
                <c:pt idx="8">
                  <c:v>25</c:v>
                </c:pt>
                <c:pt idx="9">
                  <c:v>13</c:v>
                </c:pt>
                <c:pt idx="10">
                  <c:v>0.99664053751400228</c:v>
                </c:pt>
              </c:numCache>
            </c:numRef>
          </c:xVal>
          <c:yVal>
            <c:numRef>
              <c:f>Data!$L$242:$L$252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0"/>
          <c:extLst>
            <c:ext xmlns:c16="http://schemas.microsoft.com/office/drawing/2014/chart" uri="{C3380CC4-5D6E-409C-BE32-E72D297353CC}">
              <c16:uniqueId val="{00000000-A680-4202-A812-0FEC26AD52C7}"/>
            </c:ext>
          </c:extLst>
        </c:ser>
        <c:dLbls>
          <c:showLegendKey val="0"/>
          <c:showVal val="0"/>
          <c:showCatName val="0"/>
          <c:showSerName val="0"/>
          <c:showPercent val="0"/>
          <c:showBubbleSize val="0"/>
        </c:dLbls>
        <c:axId val="404069544"/>
        <c:axId val="404070528"/>
      </c:scatterChart>
      <c:valAx>
        <c:axId val="4040695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70528"/>
        <c:crosses val="autoZero"/>
        <c:crossBetween val="midCat"/>
      </c:valAx>
      <c:valAx>
        <c:axId val="404070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69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plotArea>
      <cx:plotAreaRegion>
        <cx:series layoutId="waterfall" uniqueId="{FE3BAF7A-CE55-487F-84A4-E9E6DC8F206C}">
          <cx:dataLabels pos="outEnd">
            <cx:visibility seriesName="0" categoryName="0" value="1"/>
          </cx:dataLabels>
          <cx:dataId val="0"/>
          <cx:layoutPr>
            <cx:subtotals/>
          </cx:layoutPr>
        </cx:series>
      </cx:plotAreaRegion>
      <cx:axis id="0">
        <cx:catScaling gapWidth="0.5"/>
        <cx:tickLabels/>
      </cx:axis>
      <cx:axis id="1">
        <cx:valScaling/>
        <cx:majorGridlines/>
        <cx:tickLabels/>
      </cx:axis>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13</xdr:col>
      <xdr:colOff>263525</xdr:colOff>
      <xdr:row>165</xdr:row>
      <xdr:rowOff>44450</xdr:rowOff>
    </xdr:from>
    <xdr:to>
      <xdr:col>20</xdr:col>
      <xdr:colOff>482600</xdr:colOff>
      <xdr:row>181</xdr:row>
      <xdr:rowOff>0</xdr:rowOff>
    </xdr:to>
    <xdr:graphicFrame macro="">
      <xdr:nvGraphicFramePr>
        <xdr:cNvPr id="2" name="Chart 1">
          <a:extLst>
            <a:ext uri="{FF2B5EF4-FFF2-40B4-BE49-F238E27FC236}">
              <a16:creationId xmlns:a16="http://schemas.microsoft.com/office/drawing/2014/main" id="{5ED09E13-1EF4-EB11-0E66-DCAF2A2B2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294342</xdr:colOff>
      <xdr:row>208</xdr:row>
      <xdr:rowOff>145303</xdr:rowOff>
    </xdr:from>
    <xdr:to>
      <xdr:col>3</xdr:col>
      <xdr:colOff>285763</xdr:colOff>
      <xdr:row>223</xdr:row>
      <xdr:rowOff>74797</xdr:rowOff>
    </xdr:to>
    <xdr:pic>
      <xdr:nvPicPr>
        <xdr:cNvPr id="3" name="Picture 2">
          <a:extLst>
            <a:ext uri="{FF2B5EF4-FFF2-40B4-BE49-F238E27FC236}">
              <a16:creationId xmlns:a16="http://schemas.microsoft.com/office/drawing/2014/main" id="{C263542E-5759-4446-A1A7-81D66208BA37}"/>
            </a:ext>
          </a:extLst>
        </xdr:cNvPr>
        <xdr:cNvPicPr>
          <a:picLocks noChangeAspect="1"/>
        </xdr:cNvPicPr>
      </xdr:nvPicPr>
      <xdr:blipFill>
        <a:blip xmlns:r="http://schemas.openxmlformats.org/officeDocument/2006/relationships" r:embed="rId2"/>
        <a:stretch>
          <a:fillRect/>
        </a:stretch>
      </xdr:blipFill>
      <xdr:spPr>
        <a:xfrm>
          <a:off x="5213724" y="35656744"/>
          <a:ext cx="3825857" cy="2786994"/>
        </a:xfrm>
        <a:prstGeom prst="rect">
          <a:avLst/>
        </a:prstGeom>
      </xdr:spPr>
    </xdr:pic>
    <xdr:clientData/>
  </xdr:twoCellAnchor>
  <xdr:twoCellAnchor editAs="oneCell">
    <xdr:from>
      <xdr:col>2</xdr:col>
      <xdr:colOff>294342</xdr:colOff>
      <xdr:row>225</xdr:row>
      <xdr:rowOff>30256</xdr:rowOff>
    </xdr:from>
    <xdr:to>
      <xdr:col>3</xdr:col>
      <xdr:colOff>522768</xdr:colOff>
      <xdr:row>237</xdr:row>
      <xdr:rowOff>155680</xdr:rowOff>
    </xdr:to>
    <xdr:pic>
      <xdr:nvPicPr>
        <xdr:cNvPr id="4" name="Picture 3">
          <a:extLst>
            <a:ext uri="{FF2B5EF4-FFF2-40B4-BE49-F238E27FC236}">
              <a16:creationId xmlns:a16="http://schemas.microsoft.com/office/drawing/2014/main" id="{B5C8599B-4C6A-4837-BEDC-16A2C466A3F0}"/>
            </a:ext>
          </a:extLst>
        </xdr:cNvPr>
        <xdr:cNvPicPr>
          <a:picLocks noChangeAspect="1"/>
        </xdr:cNvPicPr>
      </xdr:nvPicPr>
      <xdr:blipFill>
        <a:blip xmlns:r="http://schemas.openxmlformats.org/officeDocument/2006/relationships" r:embed="rId3"/>
        <a:stretch>
          <a:fillRect/>
        </a:stretch>
      </xdr:blipFill>
      <xdr:spPr>
        <a:xfrm>
          <a:off x="5213724" y="38780197"/>
          <a:ext cx="4062862" cy="2411424"/>
        </a:xfrm>
        <a:prstGeom prst="rect">
          <a:avLst/>
        </a:prstGeom>
      </xdr:spPr>
    </xdr:pic>
    <xdr:clientData/>
  </xdr:twoCellAnchor>
  <xdr:twoCellAnchor editAs="oneCell">
    <xdr:from>
      <xdr:col>2</xdr:col>
      <xdr:colOff>0</xdr:colOff>
      <xdr:row>240</xdr:row>
      <xdr:rowOff>0</xdr:rowOff>
    </xdr:from>
    <xdr:to>
      <xdr:col>3</xdr:col>
      <xdr:colOff>474823</xdr:colOff>
      <xdr:row>254</xdr:row>
      <xdr:rowOff>107294</xdr:rowOff>
    </xdr:to>
    <xdr:pic>
      <xdr:nvPicPr>
        <xdr:cNvPr id="5" name="Picture 4">
          <a:extLst>
            <a:ext uri="{FF2B5EF4-FFF2-40B4-BE49-F238E27FC236}">
              <a16:creationId xmlns:a16="http://schemas.microsoft.com/office/drawing/2014/main" id="{70C7F403-E8CD-45D3-94C5-22E98E527D43}"/>
            </a:ext>
          </a:extLst>
        </xdr:cNvPr>
        <xdr:cNvPicPr>
          <a:picLocks noChangeAspect="1"/>
        </xdr:cNvPicPr>
      </xdr:nvPicPr>
      <xdr:blipFill>
        <a:blip xmlns:r="http://schemas.openxmlformats.org/officeDocument/2006/relationships" r:embed="rId4"/>
        <a:stretch>
          <a:fillRect/>
        </a:stretch>
      </xdr:blipFill>
      <xdr:spPr>
        <a:xfrm>
          <a:off x="1704975" y="36547425"/>
          <a:ext cx="4465580" cy="2640944"/>
        </a:xfrm>
        <a:prstGeom prst="rect">
          <a:avLst/>
        </a:prstGeom>
      </xdr:spPr>
    </xdr:pic>
    <xdr:clientData/>
  </xdr:twoCellAnchor>
  <xdr:twoCellAnchor>
    <xdr:from>
      <xdr:col>2</xdr:col>
      <xdr:colOff>64807</xdr:colOff>
      <xdr:row>240</xdr:row>
      <xdr:rowOff>62005</xdr:rowOff>
    </xdr:from>
    <xdr:to>
      <xdr:col>5</xdr:col>
      <xdr:colOff>461869</xdr:colOff>
      <xdr:row>255</xdr:row>
      <xdr:rowOff>125319</xdr:rowOff>
    </xdr:to>
    <xdr:graphicFrame macro="">
      <xdr:nvGraphicFramePr>
        <xdr:cNvPr id="7" name="Chart 6">
          <a:extLst>
            <a:ext uri="{FF2B5EF4-FFF2-40B4-BE49-F238E27FC236}">
              <a16:creationId xmlns:a16="http://schemas.microsoft.com/office/drawing/2014/main" id="{BB5849B0-4F64-4E44-9ADE-08B300B1FF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0.80962</cdr:x>
      <cdr:y>0.17149</cdr:y>
    </cdr:from>
    <cdr:to>
      <cdr:x>1</cdr:x>
      <cdr:y>0.38459</cdr:y>
    </cdr:to>
    <cdr:sp macro="" textlink="">
      <cdr:nvSpPr>
        <cdr:cNvPr id="3" name="TextBox 2">
          <a:extLst xmlns:a="http://schemas.openxmlformats.org/drawingml/2006/main">
            <a:ext uri="{FF2B5EF4-FFF2-40B4-BE49-F238E27FC236}">
              <a16:creationId xmlns:a16="http://schemas.microsoft.com/office/drawing/2014/main" id="{C7569336-B09E-9BC1-7EFD-6D1F61044B84}"/>
            </a:ext>
          </a:extLst>
        </cdr:cNvPr>
        <cdr:cNvSpPr txBox="1"/>
      </cdr:nvSpPr>
      <cdr:spPr>
        <a:xfrm xmlns:a="http://schemas.openxmlformats.org/drawingml/2006/main">
          <a:off x="3632200" y="488950"/>
          <a:ext cx="854075" cy="6075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NZ" sz="1100">
              <a:solidFill>
                <a:schemeClr val="tx1">
                  <a:lumMod val="50000"/>
                  <a:lumOff val="50000"/>
                </a:schemeClr>
              </a:solidFill>
            </a:rPr>
            <a:t>Useful life</a:t>
          </a: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276225</xdr:colOff>
      <xdr:row>0</xdr:row>
      <xdr:rowOff>152399</xdr:rowOff>
    </xdr:from>
    <xdr:to>
      <xdr:col>14</xdr:col>
      <xdr:colOff>459441</xdr:colOff>
      <xdr:row>18</xdr:row>
      <xdr:rowOff>114299</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659B400A-2264-4F33-853E-E5E9FD749B5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1296650" y="152399"/>
              <a:ext cx="4450416" cy="4038600"/>
            </a:xfrm>
            <a:prstGeom prst="rect">
              <a:avLst/>
            </a:prstGeom>
            <a:solidFill>
              <a:prstClr val="white"/>
            </a:solidFill>
            <a:ln w="1">
              <a:solidFill>
                <a:prstClr val="green"/>
              </a:solidFill>
            </a:ln>
          </xdr:spPr>
          <xdr:txBody>
            <a:bodyPr vertOverflow="clip" horzOverflow="clip"/>
            <a:lstStyle/>
            <a:p>
              <a:r>
                <a:rPr lang="en-NZ" sz="1100"/>
                <a:t>This chart isn't available in your version of Excel.
Editing this shape or saving this workbook into a different file format will permanently break the chart.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CCG722" id="{4FC47375-E63E-41B9-8563-92106262EF39}" userId="CCG722" providerId="None"/>
  <person displayName="Will Catton" id="{0158C5F3-DEC0-4FA9-B84D-35A084DA8386}" userId="S::Will.Catton@eeca.govt.nz::efb53e02-7f2b-485e-8caa-e4035f26b152" providerId="AD"/>
  <person displayName="Vincent Smart" id="{2710C139-F065-4396-A0F9-8EF1FD38FABA}" userId="S::Vincent.Smart@eeca.govt.nz::83955a8b-da4b-4240-9532-ac0cd7c715e0" providerId="AD"/>
  <person displayName="Thomas Pappafloratos" id="{679241A5-ED47-40A9-BD38-4C9FA98300DC}" userId="S::Thomas.Pappafloratos@eeca.govt.nz::91071574-b3cd-4aaa-acd5-9a2d6374a51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2-06-05T20:05:43.99" personId="{4FC47375-E63E-41B9-8563-92106262EF39}" id="{AFDAEDF5-65BC-4206-BA47-1087ADD67483}">
    <text>Which regional council or unitary authority, using definitions as per https://www.lgnz.co.nz/regionals/</text>
  </threadedComment>
  <threadedComment ref="A7" dT="2022-06-05T20:05:43.99" personId="{4FC47375-E63E-41B9-8563-92106262EF39}" id="{6EE8F623-F245-4005-9F0D-A7E13567196F}">
    <text>The date of submission of the application - together with the expected commissioning date, this is used to calculate the speed of implementation score.</text>
  </threadedComment>
  <threadedComment ref="A8" dT="2022-05-26T20:56:08.98" personId="{4FC47375-E63E-41B9-8563-92106262EF39}" id="{3F366BD8-DF30-4BC4-8C74-E67A16FCC877}">
    <text>This is the calendar year during which the first expenditure on the Preferred Project occurs.</text>
  </threadedComment>
  <threadedComment ref="A9" dT="2022-05-26T20:56:49.22" personId="{4FC47375-E63E-41B9-8563-92106262EF39}" id="{101E4F84-385A-4726-9B6F-D9AB10261D85}">
    <text>This is the date when the project will become operational.</text>
  </threadedComment>
  <threadedComment ref="A10" dT="2022-05-12T22:52:11.20" personId="{4FC47375-E63E-41B9-8563-92106262EF39}" id="{37FF8016-5D0D-4265-A491-F24E200E8FD5}">
    <text>Applicants to GIDI: Commercial Buildings: please respond with FALSE. Commercial space heating is not governed by the RMA rules for industrial process heat.
Applicants to GIDI: Industrial: if your project reduces coal consumption, please note that the use of coal to provide industrial process heat is subject to the Resource Management (National Environmental Standards for Greenhouse Gas Emissions from Industrial Process Heat) Regulations 2023 (SL 2023/165) – New Zealand Legislation.</text>
    <extLst>
      <x:ext xmlns:xltc2="http://schemas.microsoft.com/office/spreadsheetml/2020/threadedcomments2" uri="{F7C98A9C-CBB3-438F-8F68-D28B6AF4A901}">
        <xltc2:checksum>2505345285</xltc2:checksum>
        <xltc2:hyperlink startIndex="317" length="169" url="https://www.legislation.govt.nz/regulation/public/2023/0165/latest/whole.html#LMS607159"/>
      </x:ext>
    </extLst>
  </threadedComment>
  <threadedComment ref="A11" dT="2022-05-12T22:52:11.20" personId="{4FC47375-E63E-41B9-8563-92106262EF39}" id="{2A186A36-CCAA-4D35-92C1-23383365C83D}">
    <text>Note that high temperature heat pump projects will be evaluated over a maximum lifetime of 20 years. Other projects will be evaluated over a maximum lifetime of up to 25 years.</text>
  </threadedComment>
  <threadedComment ref="A12" dT="2022-05-12T22:52:11.20" personId="{4FC47375-E63E-41B9-8563-92106262EF39}" id="{A228394E-0D31-48C9-84E0-8BEB9AD96B34}">
    <text>With reference to Resource Management (National Environmental Standards for Greenhouse Gas Emissions from Industrial Process Heat) Regulations 2023 (SL 2023/165) – New Zealand Legislation,if there a reason why continuing to use coal past 2036 is a credible scenario without GIDI co-funding, please state the reason in your application form. If not, any coal reduction projects will be considered out to a final year of 2036.</text>
    <extLst>
      <x:ext xmlns:xltc2="http://schemas.microsoft.com/office/spreadsheetml/2020/threadedcomments2" uri="{F7C98A9C-CBB3-438F-8F68-D28B6AF4A901}">
        <xltc2:checksum>2255141039</xltc2:checksum>
        <xltc2:hyperlink startIndex="18" length="169" url="https://www.legislation.govt.nz/regulation/public/2023/0165/latest/whole.html#LMS607159"/>
      </x:ext>
    </extLst>
  </threadedComment>
  <threadedComment ref="A13" dT="2022-05-12T22:52:11.20" personId="{4FC47375-E63E-41B9-8563-92106262EF39}" id="{FD02AE8F-4549-4F3A-9136-D4CE644C0471}">
    <text>This will be used to determine the period over which the financial and emissions performance of the project should be evaluated. E.g. for boiler conversions, you should enter the remaining useful life of the existing boiler. Please ensure that the cashflow and fuel projections extend this far - noting that the first year of the project is counted as year 0.  Thus, a project with a 20 year life should have 21 years' worth of projected data input in the Cashflow tab. Data beyond the useful life of the project will be ignored in calculations within the workbook.</text>
  </threadedComment>
  <threadedComment ref="A22" dT="2022-05-12T22:10:38.40" personId="{4FC47375-E63E-41B9-8563-92106262EF39}" id="{F05B89CD-9206-41E4-8ACE-7EF179BF54D2}">
    <text>This is the inflation that will apply during the year - i.e. the increase in average prices over the period 1 January to 31 December.</text>
  </threadedComment>
  <threadedComment ref="A25" dT="2022-05-12T04:11:26.67" personId="{4FC47375-E63E-41B9-8563-92106262EF39}" id="{E1F63582-57AC-493D-A62E-DC91CBF5B622}">
    <text>Enter a value for one of the two options.  This information is used by EECA to determine the extent to which GIDI funding is required to enable the Project to proceed.
If your cashflows are in nominal terms (ie, including inflation) then any IRR and payback thresholds must also be specified in nominal terms, and vice-versa if your cashflows are specified in real terms (ie, excluding inflation)</text>
  </threadedComment>
  <threadedComment ref="A29" dT="2022-05-12T23:48:08.18" personId="{4FC47375-E63E-41B9-8563-92106262EF39}" id="{A0A2984D-6F53-40E7-8355-73B7929AFD19}">
    <text>In combination with the projected fuel consumption values supplied by the applicant, these are used to determine the emissions consequences of the project and the increased fossil fuel costs the applicant will face because of the ETS.</text>
  </threadedComment>
  <threadedComment ref="N31" dT="2022-05-11T22:54:56.70" personId="{4FC47375-E63E-41B9-8563-92106262EF39}" id="{6AF0B290-703A-47E0-A846-E7DF368E0D3C}">
    <text>This is the heat energy of any geothermal fluid supplied for heating purposes</text>
  </threadedComment>
  <threadedComment ref="A32" dT="2022-05-11T22:15:59.51" personId="{4FC47375-E63E-41B9-8563-92106262EF39}" id="{D7BE023E-E333-4F60-BF1B-B9FEE666A73E}">
    <text>Except where specified in individual comments, source is https://environment.govt.nz/assets/Publications/Files/Measuring-Emissions-Detailed-Guide-2020.pdf</text>
  </threadedComment>
  <threadedComment ref="B32" dT="2022-05-20T01:44:02.05" personId="{4FC47375-E63E-41B9-8563-92106262EF39}" id="{56AFFEA8-5B70-4C7E-A97B-DADC146D9C4D}">
    <text>Source: https://ccc-production-media.s3.ap-southeast-2.amazonaws.com/public/Inaia-tonu-nei-a-low-emissions-future-for-Aotearoa/Modelling-files/Scenarios-dataset-2021-final-advice.xlsx 
plus 8.7% (p38 of main ref)</text>
  </threadedComment>
  <threadedComment ref="C32" dT="2022-05-20T01:56:07.88" personId="{4FC47375-E63E-41B9-8563-92106262EF39}" id="{B81E2207-82FF-4783-920A-91CAAE983903}">
    <text>P25 of main reference, plus calculation of diesel emissions from transporting fuel an assumed 40 km</text>
  </threadedComment>
  <threadedComment ref="D32" dT="2022-05-20T01:56:07.88" personId="{4FC47375-E63E-41B9-8563-92106262EF39}" id="{1A76C9DB-3BEF-4343-ABC8-F8D53FABAB6F}">
    <text>P25 of main reference, plus calculation of diesel emissions from transporting fuel an assumed 40 km</text>
  </threadedComment>
  <threadedComment ref="E32" dT="2022-05-20T01:56:07.88" personId="{4FC47375-E63E-41B9-8563-92106262EF39}" id="{DC227408-5684-4472-B54D-2A57268DD77E}">
    <text>P25 of main reference, plus calculation of diesel emissions from transporting fuel an assumed 40 km</text>
  </threadedComment>
  <threadedComment ref="F32" dT="2022-05-20T01:56:07.88" personId="{4FC47375-E63E-41B9-8563-92106262EF39}" id="{96CE323B-5DC6-4E2A-991E-3F67A71A3EE0}">
    <text>P21 of main reference, plus calculation of diesel emissions from transporting fuel an assumed 40 km</text>
  </threadedComment>
  <threadedComment ref="G32" dT="2022-05-20T01:56:07.88" personId="{4FC47375-E63E-41B9-8563-92106262EF39}" id="{5BF96F5B-224B-4307-A9B7-2F520C76F87B}">
    <text>P21 of main reference, plus calculation of diesel emissions from transporting fuel an assumed 40 km</text>
  </threadedComment>
  <threadedComment ref="H32" dT="2022-05-20T01:56:07.88" personId="{4FC47375-E63E-41B9-8563-92106262EF39}" id="{938C6F2D-911C-4A44-BA8C-6BFBB242698D}">
    <text>P21 of main reference, plus calculation of diesel emissions from transporting fuel an assumed 40 km</text>
  </threadedComment>
  <threadedComment ref="I32" dT="2022-05-20T01:56:07.88" personId="{4FC47375-E63E-41B9-8563-92106262EF39}" id="{654B28AE-D572-4BE0-BF66-89EC7057C865}">
    <text>P21 of main reference</text>
  </threadedComment>
  <threadedComment ref="J32" dT="2022-05-20T01:56:07.88" personId="{4FC47375-E63E-41B9-8563-92106262EF39}" id="{BC2315C8-172C-417C-8258-E36AEA506F09}">
    <text>P21 of main reference</text>
  </threadedComment>
  <threadedComment ref="K32" dT="2022-05-20T01:56:07.88" personId="{4FC47375-E63E-41B9-8563-92106262EF39}" id="{821F5C18-1AFE-4D4F-A062-0F20F45810E1}">
    <text>P21 of main reference</text>
  </threadedComment>
  <threadedComment ref="L32" dT="2022-05-20T01:56:07.88" personId="{4FC47375-E63E-41B9-8563-92106262EF39}" id="{D8DCC0B4-EEBB-4615-A807-63E9701B65B7}">
    <text>P21 of main reference</text>
  </threadedComment>
  <threadedComment ref="M32" dT="2022-05-20T01:56:07.88" personId="{4FC47375-E63E-41B9-8563-92106262EF39}" id="{A20DEBE9-015D-48AC-BD61-247394A48FE0}">
    <text>P21 and P27 of main reference</text>
  </threadedComment>
  <threadedComment ref="N32" dT="2022-05-20T01:58:03.31" personId="{4FC47375-E63E-41B9-8563-92106262EF39}" id="{C3F85372-42CA-4B43-993F-CECCB7D01BD6}">
    <text>Source: https://www.nzgeothermal.org.nz/geothermal-in-nz/what-is-geothermal/#:~:text=The%20IPCC%20life%2Dcycle%20(LCA,)%2FkWh%20from%20operation%20only.</text>
  </threadedComment>
  <threadedComment ref="A33" dT="2022-05-11T22:17:57.61" personId="{4FC47375-E63E-41B9-8563-92106262EF39}" id="{EF8A4AD8-BB76-4A2E-8C81-73D14AFFD15C}">
    <text>Coal from different mines can have differing CO2 emissions, as can geothermal fluid from different fields.  Likewise, depending on distance from source and nature of supply, wood can have different emissions factors</text>
  </threadedComment>
  <threadedComment ref="F35" dT="2022-05-16T03:13:06.06" personId="{4FC47375-E63E-41B9-8563-92106262EF39}" id="{06848349-42A6-4DC3-8084-C7EACA45B258}">
    <text>See https://www.legislation.govt.nz/regulation/public/2009/0286/latest/DLM2378520.html for emissions factors</text>
  </threadedComment>
  <threadedComment ref="G35" dT="2022-05-16T03:13:06.06" personId="{4FC47375-E63E-41B9-8563-92106262EF39}" id="{58F8B825-8389-4B6E-B898-5773AA0FFE70}">
    <text>See https://www.legislation.govt.nz/regulation/public/2009/0286/latest/DLM2378520.html for emissions factors</text>
  </threadedComment>
  <threadedComment ref="H35" dT="2022-05-16T03:13:06.06" personId="{4FC47375-E63E-41B9-8563-92106262EF39}" id="{E3B7DF84-6B1C-4AAF-9A8C-6DA6D123D087}">
    <text>See https://www.legislation.govt.nz/regulation/public/2009/0286/latest/DLM2378520.html for emissions factors</text>
  </threadedComment>
  <threadedComment ref="I35" dT="2022-05-11T22:32:00.88" personId="{4FC47375-E63E-41B9-8563-92106262EF39}" id="{2400E68C-6886-4D45-9C33-BF798587312F}">
    <text>kg/l
value taken from fuel properties tab of MBIE oil statistics spreadsheet published here: https://www.mbie.govt.nz/building-and-energy/energy-and-natural-resources/energy-statistics-and-modelling/energy-statistics/oil-statistics/</text>
  </threadedComment>
  <threadedComment ref="K35" dT="2022-05-11T22:32:00.88" personId="{4FC47375-E63E-41B9-8563-92106262EF39}" id="{E7595C26-4877-4F80-B3AC-756C1ED1874C}">
    <text>kg/l
value taken from fuel properties tab of MBIE oil statistics spreadsheet published here: https://www.mbie.govt.nz/building-and-energy/energy-and-natural-resources/energy-statistics-and-modelling/energy-statistics/oil-statistics/</text>
  </threadedComment>
  <threadedComment ref="L35" dT="2022-05-11T22:32:00.88" personId="{4FC47375-E63E-41B9-8563-92106262EF39}" id="{1BC60EA3-ACA5-4288-A799-9ED9A8FBF80E}">
    <text>kg/l
value taken from fuel properties tab of MBIE oil statistics spreadsheet published here: https://www.mbie.govt.nz/building-and-energy/energy-and-natural-resources/energy-statistics-and-modelling/energy-statistics/oil-statistics/</text>
  </threadedComment>
  <threadedComment ref="I36" dT="2022-05-11T22:32:00.88" personId="{4FC47375-E63E-41B9-8563-92106262EF39}" id="{3CDDA445-7A5E-4E88-BB93-AE1FB97532D0}">
    <text>MJ/kg 
value taken from fuel properties tab of MBIE oil statistics spreadsheet published here: https://www.mbie.govt.nz/building-and-energy/energy-and-natural-resources/energy-statistics-and-modelling/energy-statistics/oil-statistics/</text>
  </threadedComment>
  <threadedComment ref="K36" dT="2022-05-11T22:32:00.88" personId="{4FC47375-E63E-41B9-8563-92106262EF39}" id="{4D219F26-EEE5-4708-A4F8-788CF5F7C1E2}">
    <text>MJ/kg 
value taken from fuel properties tab of MBIE oil statistics spreadsheet published here: https://www.mbie.govt.nz/building-and-energy/energy-and-natural-resources/energy-statistics-and-modelling/energy-statistics/oil-statistics/</text>
  </threadedComment>
  <threadedComment ref="L36" dT="2022-05-11T22:32:00.88" personId="{4FC47375-E63E-41B9-8563-92106262EF39}" id="{B8501A18-9A4E-41B8-87D9-C9E03A2907F5}">
    <text>MJ/kg 
value taken from fuel properties tab of MBIE oil statistics spreadsheet published here: https://www.mbie.govt.nz/building-and-energy/energy-and-natural-resources/energy-statistics-and-modelling/energy-statistics/oil-statistics/</text>
  </threadedComment>
  <threadedComment ref="A38" dT="2022-05-11T22:25:12.87" personId="{4FC47375-E63E-41B9-8563-92106262EF39}" id="{71100D02-9151-485F-8F7B-DF53917F0D32}">
    <text>Used to enable fuel emissions to be expressed on a common tCO2/GJ basis</text>
  </threadedComment>
  <threadedComment ref="I38" dT="2022-05-11T22:32:00.88" personId="{4FC47375-E63E-41B9-8563-92106262EF39}" id="{14738670-12BC-410C-BAAD-CD3E7D7679F7}">
    <text>=kg/l * MJ/kg / 1000</text>
  </threadedComment>
  <threadedComment ref="J38" dT="2022-05-11T22:28:54.60" personId="{4FC47375-E63E-41B9-8563-92106262EF39}" id="{4EFF95AD-E8B9-45FA-B2C2-00A712F4E417}">
    <text>Assuming a 60:40 Propane/Butane mix, and HHV GJ/t values of 50.35 and 49.5, respectively (which were sourced from http://en.wikipedia.org/wiki/Heat_of_combustion)</text>
  </threadedComment>
  <threadedComment ref="K38" dT="2022-05-11T22:32:00.88" personId="{4FC47375-E63E-41B9-8563-92106262EF39}" id="{9FEB18BC-9E43-493E-86A8-005A59D82931}">
    <text>=kg/l * MJ/kg / 1000</text>
  </threadedComment>
  <threadedComment ref="L38" dT="2022-05-11T22:32:00.88" personId="{4FC47375-E63E-41B9-8563-92106262EF39}" id="{C607C44D-4748-415A-8776-923824CD972B}">
    <text>=kg/l * MJ/kg / 1000</text>
  </threadedComment>
  <threadedComment ref="A41" dT="2022-05-12T00:09:52.08" personId="{4FC47375-E63E-41B9-8563-92106262EF39}" id="{CA4F80B5-ADC5-4BCF-8457-DA766F65BE55}">
    <text>Because users can specify their fuel consumption in different units, these factors are used as lookup-values for whatever unit the user specifies in order to calculate the ETS costs from consuming the different fuels, plus the emissions associated with consumption of the different fuels</text>
  </threadedComment>
  <threadedComment ref="J48" dT="2022-05-12T00:12:38.65" personId="{4FC47375-E63E-41B9-8563-92106262EF39}" id="{AC907ABC-1FE1-4B01-8803-D5B5988888C2}">
    <text>0.534 kg/l of LPG taken from Fuel_properties tab of MBIE oil statistics published here: https://www.mbie.govt.nz/building-and-energy/energy-and-natural-resources/energy-statistics-and-modelling/energy-statistics/oil-statistics/</text>
  </threadedComment>
  <threadedComment ref="F57" dT="2022-05-17T04:50:34.08" personId="{4FC47375-E63E-41B9-8563-92106262EF39}" id="{A95A72BF-6FB1-4AC4-ADC3-829ADE0E3577}">
    <text>Present value of difference in capex projections between Preferred Project and Base Case, using public pre-tax, real discount rate of 5%</text>
  </threadedComment>
  <threadedComment ref="C64" dT="2022-08-01T07:57:19.69" personId="{4FC47375-E63E-41B9-8563-92106262EF39}" id="{76095100-778C-4AE8-9217-F645144EB62F}">
    <text>The end of the second emissions budget period</text>
  </threadedComment>
  <threadedComment ref="A69" dT="2022-05-17T04:35:53.77" personId="{4FC47375-E63E-41B9-8563-92106262EF39}" id="{7096C39F-20DA-4BAD-84EF-53FA9621CC17}">
    <text>Discounted using public sector pre-tax, real discount rate of 5%</text>
  </threadedComment>
  <threadedComment ref="A70" dT="2022-05-17T04:40:27.89" personId="{4FC47375-E63E-41B9-8563-92106262EF39}" id="{454DB44C-304C-4E49-874A-B26DA0366E56}">
    <text>Net present value calculated using public sector pre-tax, real discount rate of 5%</text>
  </threadedComment>
  <threadedComment ref="A71" dT="2022-05-12T23:52:36.89" personId="{4FC47375-E63E-41B9-8563-92106262EF39}" id="{1AFE8E3C-FA1A-4FCF-9D3F-8356CD5A505F}">
    <text>This represents the abatement cost to 'NZ Inc'.  It is based on the discounted future costs of the project (on a real basis over the stated useful life of the project), divided by the discounted future emissions savings of the project, all using a public sector real pre-tax discount rate of 5%.
If the project has an IRR on a real basis (ie, not nominal) excluding GIDI funding and excluding ETS costs which is greater than this 5% discount rate, the abatement cost will be negative.</text>
  </threadedComment>
  <threadedComment ref="B72" dT="2022-05-17T05:39:18.34" personId="{4FC47375-E63E-41B9-8563-92106262EF39}" id="{FDE0A1FC-8BD6-4BFC-8D64-A7717B92BD1E}">
    <text>If a project has an abatement cost greater than this value, it would not be appropriate for receipt of public funding.
The Shadow_Fac factor takes the shadow carbon price projection from Treasury in 2021$, and factors it to be in the Real year specified by the applicant (or the start year of the projection if the applicant has specified projections in nominal terms)</text>
  </threadedComment>
  <threadedComment ref="C72" dT="2022-05-17T05:39:18.34" personId="{4FC47375-E63E-41B9-8563-92106262EF39}" id="{8870C859-73BA-41BB-BF62-5A368D746DF1}">
    <text>If a project has an abatement cost greater than this value, it would not be appropriate for receipt of public funding.
The Shadow_Fac factor takes the shadow carbon price projection from Treasury in 2021$, and factors it to be in the Real year specified by the applicant (or the start year of the projection if the applicant has specified projections in nominal terms)</text>
  </threadedComment>
  <threadedComment ref="A73" dT="2022-05-20T02:51:32.60" personId="{4FC47375-E63E-41B9-8563-92106262EF39}" id="{0914EDB7-88D9-4BE4-8FBD-7F536D46574E}">
    <text>Equals the requested GIDI funding, divided by the discounted emissions reductions over the lifetime of the project, using the public sector 5% real discount rate.
This has been updated to use the PV of the GIDI funding to adjust for the delay involved in extended projects.</text>
  </threadedComment>
  <threadedComment ref="D78" dT="2022-08-01T23:57:31.69" personId="{4FC47375-E63E-41B9-8563-92106262EF39}" id="{BD65A14C-5053-4E8E-A724-13048534651E}">
    <text>Score using abatement cost over project lifetime</text>
  </threadedComment>
</ThreadedComments>
</file>

<file path=xl/threadedComments/threadedComment2.xml><?xml version="1.0" encoding="utf-8"?>
<ThreadedComments xmlns="http://schemas.microsoft.com/office/spreadsheetml/2018/threadedcomments" xmlns:x="http://schemas.openxmlformats.org/spreadsheetml/2006/main">
  <threadedComment ref="E3" dT="2022-05-12T04:51:58.66" personId="{4FC47375-E63E-41B9-8563-92106262EF39}" id="{03699B24-E524-4802-BDBC-DF5BD0CA29B9}">
    <text>Used for calculating the abatement cost</text>
  </threadedComment>
  <threadedComment ref="D6" dT="2022-05-12T02:48:26.43" personId="{4FC47375-E63E-41B9-8563-92106262EF39}" id="{BD67374D-FEFE-41C1-9353-8756A1265818}">
    <text>DO NOT include your requested GIDI funding contribution</text>
  </threadedComment>
  <threadedComment ref="E6" dT="2022-05-12T23:12:13.77" personId="{4FC47375-E63E-41B9-8563-92106262EF39}" id="{3408FED5-C194-4D4D-8169-1E96BF841AD3}">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17" dT="2022-05-12T23:12:13.77" personId="{4FC47375-E63E-41B9-8563-92106262EF39}" id="{6A454D15-6B69-4E5A-AD6D-44AEFBB64B85}">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31" dT="2022-05-11T21:34:41.57" personId="{4FC47375-E63E-41B9-8563-92106262EF39}" id="{CB631807-C6C4-47C7-9ACF-CA3B9EF52D60}">
    <text>Labour, maintenance, etc.
Do not include any costs associated with the supply of fuel (gas, electricity, coal, etc).  Fuel costs are to be entered in section 2b) below. 
Also do not include financing costs such as interest on loans, tax, or depreciation.  All cashflows should be before interest, tax, and depreciation.</text>
  </threadedComment>
  <threadedComment ref="E32" dT="2022-05-12T23:12:13.77" personId="{4FC47375-E63E-41B9-8563-92106262EF39}" id="{B9AF2D1D-972B-4DE6-A555-F6E8C5316E0E}">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41" dT="2022-05-12T23:12:13.77" personId="{4FC47375-E63E-41B9-8563-92106262EF39}" id="{33B36AF4-3ED0-40A6-A802-299DCBFC8599}">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52" dT="2022-05-11T21:33:56.57" personId="{4FC47375-E63E-41B9-8563-92106262EF39}" id="{97D553CE-F153-4631-A52B-6D6939F1B54D}">
    <text>'Fuel' includes any electricity supply costs (energy and network)
Do not include the expected increased cost of fuel due to the price of carbon in the ETS.  This will be calculated automatically based on the quantity of fuel consumed you project in section 3), combined with your expectations of future ETS carbon prices you input in section C) in the In_Out sheet.
Use the drop-down menu to specify the type of fuel cost. Eg, 'LPG', 'Electricity - Network only', etc.
Do not type different values, and do not leave a cell blank - i.e. leave as '&lt;Select&gt;' if there is no entry to make</text>
  </threadedComment>
  <threadedComment ref="E53" dT="2022-05-12T23:12:13.77" personId="{4FC47375-E63E-41B9-8563-92106262EF39}" id="{42FD01F6-1D5F-457B-B422-84D974887BC2}">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62" dT="2022-05-12T23:12:13.77" personId="{4FC47375-E63E-41B9-8563-92106262EF39}" id="{8F69ACF3-84D5-4517-8DE5-D9B298BA93CF}">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73" dT="2022-05-11T05:29:37.49" personId="{4FC47375-E63E-41B9-8563-92106262EF39}" id="{3E548830-D992-4A97-BA6D-F921C9AB79CC}">
    <text>This section calculates the increase in fuel costs due to a price of CO2 in the ETS.  
This uses your projection of expected ETS prices entered in section C) of the In_Out sheet, multiplied by your projection of energy consumption and factored by the emissions factor (EF) of the fuel.  This emissions factor for each fuel is specified by the Ministry for the Environment and shown in section [E)] of the In_Out sheet.  Section E also allows for specific emissions factors to be used in the case of coal and geothermal.</text>
  </threadedComment>
  <threadedComment ref="E74" dT="2022-05-12T02:49:16.89" personId="{4FC47375-E63E-41B9-8563-92106262EF39}" id="{8B0BCC64-F421-46F8-A14D-17148048B716}">
    <text>The emission factor is specified in the units you have specified in section 3) below.</text>
  </threadedComment>
  <threadedComment ref="C97" dT="2022-05-12T00:05:12.84" personId="{4FC47375-E63E-41B9-8563-92106262EF39}" id="{06F38208-FD0C-4E05-83A1-59AA08039175}">
    <text>Use the drop-down menu to specify the units of the fuel projection. Eg, GJ, kg, kWh, litre.
Do not type different values, and do not leave a cell blank - i.e. leave as '&lt;Select&gt;' if there is no entry to make</text>
  </threadedComment>
  <threadedComment ref="D97" dT="2022-06-08T01:53:01.17" personId="{4FC47375-E63E-41B9-8563-92106262EF39}" id="{713ECD92-5B58-4D65-9923-D0A55B115AF5}">
    <text>Use the drop-down menu to specify the type of fuel. Eg, Natural gas, LPG, etc.
Do not type different values, and do not leave a cell blank - i.e. leave as '&lt;Select&gt;' if there is no entry to make</text>
  </threadedComment>
  <threadedComment ref="B98" dT="2022-06-04T20:15:13.59" personId="{4FC47375-E63E-41B9-8563-92106262EF39}" id="{F1B124DA-993D-45CF-90FD-928DA5EE9490}">
    <text>Functionality to check that the correct unit types have been entered for the fuels</text>
  </threadedComment>
  <threadedComment ref="E98" dT="2022-05-12T23:12:13.77" personId="{4FC47375-E63E-41B9-8563-92106262EF39}" id="{BD01863E-F870-448F-B4E6-F13AC6A3B8C2}">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105" dT="2022-05-12T23:12:13.77" personId="{4FC47375-E63E-41B9-8563-92106262EF39}" id="{76916C2C-20BE-43D4-A258-6BD30DF91DAC}">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114" dT="2022-05-13T00:00:01.55" personId="{4FC47375-E63E-41B9-8563-92106262EF39}" id="{01A73A11-2964-40EF-920B-96E4619EC714}">
    <text>This area is used to calculate the financial performance of the Project (ie, IRR and payback) under different bases.</text>
  </threadedComment>
  <threadedComment ref="D130" dT="2022-09-23T18:56:52.12" personId="{4FC47375-E63E-41B9-8563-92106262EF39}" id="{3672E0F7-CB75-4A1F-8F64-FE0F03C2ECD1}">
    <text>Assume timing of receipt of GIDI funding is proportional to timing of capex cashflows.  If the approach is taken where GIDI funding is assumed to be given at the start, it can deliver some very funny IRR values for projects where the majority of the capex is in year 2 or beyond</text>
  </threadedComment>
  <threadedComment ref="D146" dT="2022-05-11T05:27:52.87" personId="{4FC47375-E63E-41B9-8563-92106262EF39}" id="{22A31F68-888A-474B-9392-82B36A167250}">
    <text>This checks whether, if you have made an entry for 'LPG', say, in the 2b) Fuel opex section, you also have entries in the 3) Energy Consumption section.</text>
  </threadedComment>
  <threadedComment ref="D149" dT="2022-05-12T05:36:14.16" personId="{4FC47375-E63E-41B9-8563-92106262EF39}" id="{92802B05-D5B9-4122-B0BD-7091F6869844}">
    <text>This enables sanity checking of whether the implied fuel price is the same in the Preferred Project and the Base Case situation - if the fuel is used in both situations.</text>
  </threadedComment>
  <threadedComment ref="D170" dT="2022-05-11T05:27:52.87" personId="{4FC47375-E63E-41B9-8563-92106262EF39}" id="{7E3EFE7D-E628-405E-B1C6-D81B14D99BE6}">
    <text>This checks whether the first nonzero abatement matches the year of the anticipated commissioning date stated in the In_Out sheet. Please note that part-year abatements should be used when the commissioning date falls within the commissioning year.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90" dT="2022-05-12T04:18:32.98" personId="{4FC47375-E63E-41B9-8563-92106262EF39}" id="{7B3C3AF3-3D3E-4604-A954-6B88206969F4}">
    <text>Public sector, real, pre-tax</text>
  </threadedComment>
  <threadedComment ref="B93" dT="2022-05-12T04:18:32.98" personId="{4FC47375-E63E-41B9-8563-92106262EF39}" id="{638F02DD-678B-4BE9-A189-CC7996CA4D81}">
    <text>Estimated upper bound for real, pre-tax WACC</text>
  </threadedComment>
  <threadedComment ref="C95" dT="2022-06-02T01:37:28.86" personId="{4FC47375-E63E-41B9-8563-92106262EF39}" id="{8DD7371A-5E6C-48E3-AD34-C361D4ACE500}">
    <text>Maximum life over which projects will be evaluated</text>
  </threadedComment>
  <threadedComment ref="C146" dT="2022-05-17T05:04:28.97" personId="{4FC47375-E63E-41B9-8563-92106262EF39}" id="{B703E1DB-7818-4794-8182-D72C1F8632F3}">
    <text>Source: https://www.treasury.govt.nz/sites/default/files/2021-09/cbax-guide-sep21.pdf</text>
  </threadedComment>
  <threadedComment ref="C146" dT="2022-11-06T22:13:13.30" personId="{2710C139-F065-4396-A0F9-8EF1FD38FABA}" id="{2389CAD3-D281-4FB9-9D81-C20414A494E8}" parentId="{B703E1DB-7818-4794-8182-D72C1F8632F3}">
    <text>Green figures updated from file:///C:/Users/smartv/Downloads/cbax-guide-oct22.pdf on 7/11/2022</text>
  </threadedComment>
  <threadedComment ref="C146" dT="2023-06-25T23:17:41.21" personId="{0158C5F3-DEC0-4FA9-B84D-35A084DA8386}" id="{89DCA568-249C-4DCF-9D91-F6D9C2E0D776}" parentId="{B703E1DB-7818-4794-8182-D72C1F8632F3}">
    <text>Added High and Low shadow price timeseries, also from the Oct 22 CBAx guide (still appears to be the latest) on 26/6/2023</text>
  </threadedComment>
  <threadedComment ref="E149" dT="2021-08-24T20:53:32.96" personId="{4FC47375-E63E-41B9-8563-92106262EF39}" id="{05A8D60E-6CC3-4456-A999-C9AD75D261FD}">
    <text>https://environment.govt.nz/news/release-of-updates-to-nz-ets-regulations-and-sgg-levy/
These follow the CCC recommendations that the Government increase the cost containment reserve trigger price for NZ ETS auctions to $70 “at the first possible opportunity and then every year by at least 10% plus inflation". At the same time, the CCC also recommended the auction reserve trigger price (which essentially acts as a floor price for the NZ ETS auctions) be increased to $30 as soon as possible and then increased further annually by 5% plus inflation.</text>
  </threadedComment>
  <threadedComment ref="J149" dT="2022-05-22T20:54:03.56" personId="{4FC47375-E63E-41B9-8563-92106262EF39}" id="{453F4FB3-FA4A-46CD-813F-726C0735E738}">
    <text>Assumed inflation in setting the nominal cap and floor has been derived to be 2%</text>
  </threadedComment>
  <threadedComment ref="F150" dT="2022-05-22T20:57:07.37" personId="{4FC47375-E63E-41B9-8563-92106262EF39}" id="{4D76DFBD-9986-4623-867B-E45122C04262}">
    <text>Back-calculating the nominal rates published by MfE, it is clear they assumed 2%</text>
  </threadedComment>
  <threadedComment ref="B155" dT="2022-05-17T05:19:52.60" personId="{4FC47375-E63E-41B9-8563-92106262EF39}" id="{1BE31485-1F04-4B1E-8C5B-2B8E6D1DBA82}">
    <text>Historical and forecast CPI from Tab 2.13 here: https://www.rbnz.govt.nz/monetary-policy/monetary-policy-statement</text>
  </threadedComment>
  <threadedComment ref="R155" dT="2022-05-22T21:05:45.24" personId="{4FC47375-E63E-41B9-8563-92106262EF39}" id="{CAE581B0-5EDE-4F18-A6B5-4454A9939514}">
    <text>First quarter 2025 is stated to be 2% in RBNZ data.  Assume this long-term rate continues beyond then</text>
  </threadedComment>
  <threadedComment ref="R155" dT="2023-09-10T23:36:46.67" personId="{679241A5-ED47-40A9-BD38-4C9FA98300DC}" id="{C168B1F2-88F7-43C7-AEE3-CEBE838734A4}" parentId="{CAE581B0-5EDE-4F18-A6B5-4454A9939514}">
    <text>Updated values (2022-2025) based on MPS August 2023. 2% assumption carries on from Q1 2026.</text>
  </threadedComment>
  <threadedComment ref="F173" dT="2022-05-19T02:00:19.29" personId="{4FC47375-E63E-41B9-8563-92106262EF39}" id="{6133D374-6A70-43FE-9141-9BE3BBAD582F}">
    <text>Different lengths of time may be due to equipment having a certain economic life, or due to a project simply bringing forward expenditure that would happen anyway by a certain length of time</text>
  </threadedComment>
  <threadedComment ref="C188" dT="2022-05-29T21:31:40.90" personId="{4FC47375-E63E-41B9-8563-92106262EF39}" id="{66099CD0-5F2E-482C-B656-4115839044BA}">
    <text>https://www.pwc.co.nz/pdfs/2019pdfs/cost-of-capital-report-1.pdf</text>
  </threadedComment>
  <threadedComment ref="E188" dT="2022-05-29T21:37:59.05" personId="{4FC47375-E63E-41B9-8563-92106262EF39}" id="{9668616B-5E7E-4230-8520-1A3DC70215B0}">
    <text>Values changed till get calculated post-tax nominal WACC close to the reported values</text>
  </threadedComment>
  <threadedComment ref="F188" dT="2022-05-29T21:32:40.11" personId="{4FC47375-E63E-41B9-8563-92106262EF39}" id="{900098A4-6671-4DD5-BBF0-4A62D1B672B1}">
    <text>https://www.google.com/url?sa=t&amp;rct=j&amp;q=&amp;esrc=s&amp;source=web&amp;cd=&amp;cad=rja&amp;uact=8&amp;ved=2ahUKEwi2tZe11IX4AhXyTmwGHeDMA20QFnoECAsQAw&amp;url=https%3A%2F%2Fwww.aer.gov.au%2Fsystem%2Ffiles%2FAppendix%2520B%2520WACC%2520-%2520Access%2520Arrangement%2520Information%2520-%252011%2520November%25201999.doc%23%3A~%3Atext%3D4.1%2520Conversion%2520of%2520Nominal%2520Post%2Cto%2520Real%2520Pre%252DTax%2520WACC%26text%3DOne%2520is%2520to%2520gross%2520up%2Cusing%2520an%2520estimated%2520inflation%2520rate.&amp;usg=AOvVaw2dHCGy7LwudGJQKG4s6fx5</text>
  </threadedComment>
  <threadedComment ref="I188" dT="2022-05-29T21:31:40.90" personId="{4FC47375-E63E-41B9-8563-92106262EF39}" id="{637B23DE-8267-4BE8-AC3A-229709D03ECE}">
    <text>https://www.pwc.co.nz/pdfs/2019pdfs/cost-of-capital-report-1.pdf</text>
  </threadedComment>
  <threadedComment ref="C196" dT="2022-05-22T23:14:03.77" personId="{4FC47375-E63E-41B9-8563-92106262EF39}" id="{BD2BBD0C-75BB-4E69-A398-05D1F7A497CE}">
    <text>This top row is used for a lookup function which search for items less than or equal to in the array from the top row to the bottom row in this table</text>
  </threadedComment>
  <threadedComment ref="B202" dT="2022-05-23T00:27:52.47" personId="{4FC47375-E63E-41B9-8563-92106262EF39}" id="{8F5AAD07-4061-49D4-9625-5127CF45149A}">
    <text>This is common text used in two different message areas</text>
  </threadedComment>
  <threadedComment ref="C204" dT="2022-05-23T00:21:34.38" personId="{4FC47375-E63E-41B9-8563-92106262EF39}" id="{951CB606-40CA-4426-85EA-27D2D2255D30}">
    <text>Projects with post-GIDI paybacks superior to this will not receive GIDI funding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2812-8FF0-46C0-A6FB-931C987A63F6}">
  <sheetPr codeName="Sheet1"/>
  <dimension ref="A1:C36"/>
  <sheetViews>
    <sheetView tabSelected="1" workbookViewId="0">
      <selection activeCell="B2" sqref="B2"/>
    </sheetView>
  </sheetViews>
  <sheetFormatPr defaultColWidth="0" defaultRowHeight="15" zeroHeight="1" x14ac:dyDescent="0.25"/>
  <cols>
    <col min="1" max="1" width="5" customWidth="1"/>
    <col min="2" max="2" width="139.140625" style="47" customWidth="1"/>
    <col min="3" max="3" width="3.85546875" customWidth="1"/>
    <col min="4" max="16384" width="8.85546875" hidden="1"/>
  </cols>
  <sheetData>
    <row r="1" spans="1:3" ht="18.75" x14ac:dyDescent="0.3">
      <c r="A1" s="3"/>
      <c r="B1" s="50" t="s">
        <v>298</v>
      </c>
      <c r="C1" s="3"/>
    </row>
    <row r="2" spans="1:3" x14ac:dyDescent="0.25">
      <c r="A2" s="3"/>
      <c r="B2" s="218" t="str">
        <f>"FAT version "&amp;FAT_release &amp;". Release date "&amp;TEXT(FAT_release_date,"dd/mm/yy")</f>
        <v>FAT version 1.3.2. Release date 20/09/23</v>
      </c>
      <c r="C2" s="3"/>
    </row>
    <row r="3" spans="1:3" x14ac:dyDescent="0.25">
      <c r="A3" s="3"/>
      <c r="B3" s="61"/>
      <c r="C3" s="3"/>
    </row>
    <row r="4" spans="1:3" ht="30" x14ac:dyDescent="0.25">
      <c r="A4" s="3"/>
      <c r="B4" s="61" t="s">
        <v>0</v>
      </c>
      <c r="C4" s="3"/>
    </row>
    <row r="5" spans="1:3" ht="30" x14ac:dyDescent="0.25">
      <c r="A5" s="3"/>
      <c r="B5" s="62" t="s">
        <v>1</v>
      </c>
      <c r="C5" s="3"/>
    </row>
    <row r="6" spans="1:3" x14ac:dyDescent="0.25">
      <c r="A6" s="3"/>
      <c r="B6" s="62"/>
      <c r="C6" s="3"/>
    </row>
    <row r="7" spans="1:3" x14ac:dyDescent="0.25">
      <c r="A7" s="3"/>
      <c r="B7" s="61" t="s">
        <v>2</v>
      </c>
      <c r="C7" s="3"/>
    </row>
    <row r="8" spans="1:3" ht="30" x14ac:dyDescent="0.25">
      <c r="A8" s="3"/>
      <c r="B8" s="62" t="s">
        <v>3</v>
      </c>
      <c r="C8" s="3"/>
    </row>
    <row r="9" spans="1:3" ht="30" x14ac:dyDescent="0.25">
      <c r="A9" s="3"/>
      <c r="B9" s="62" t="s">
        <v>4</v>
      </c>
      <c r="C9" s="3"/>
    </row>
    <row r="10" spans="1:3" ht="30" x14ac:dyDescent="0.25">
      <c r="A10" s="3"/>
      <c r="B10" s="62" t="s">
        <v>5</v>
      </c>
      <c r="C10" s="3"/>
    </row>
    <row r="11" spans="1:3" x14ac:dyDescent="0.25">
      <c r="A11" s="3"/>
      <c r="B11" s="61"/>
      <c r="C11" s="3"/>
    </row>
    <row r="12" spans="1:3" ht="30" x14ac:dyDescent="0.25">
      <c r="A12" s="3"/>
      <c r="B12" s="127" t="s">
        <v>6</v>
      </c>
      <c r="C12" s="3"/>
    </row>
    <row r="13" spans="1:3" x14ac:dyDescent="0.25">
      <c r="A13" s="3"/>
      <c r="B13" s="61"/>
      <c r="C13" s="3"/>
    </row>
    <row r="14" spans="1:3" ht="30" x14ac:dyDescent="0.25">
      <c r="A14" s="3"/>
      <c r="B14" s="61" t="s">
        <v>7</v>
      </c>
      <c r="C14" s="3"/>
    </row>
    <row r="15" spans="1:3" x14ac:dyDescent="0.25">
      <c r="A15" s="3"/>
      <c r="B15" s="61"/>
      <c r="C15" s="3"/>
    </row>
    <row r="16" spans="1:3" x14ac:dyDescent="0.25">
      <c r="A16" s="3"/>
      <c r="B16" s="120" t="s">
        <v>8</v>
      </c>
      <c r="C16" s="3"/>
    </row>
    <row r="17" spans="1:3" x14ac:dyDescent="0.25">
      <c r="A17" s="3"/>
      <c r="B17" s="61" t="s">
        <v>9</v>
      </c>
      <c r="C17" s="3"/>
    </row>
    <row r="18" spans="1:3" ht="90" x14ac:dyDescent="0.25">
      <c r="A18" s="3"/>
      <c r="B18" s="61" t="s">
        <v>316</v>
      </c>
      <c r="C18" s="3"/>
    </row>
    <row r="19" spans="1:3" x14ac:dyDescent="0.25">
      <c r="A19" s="3"/>
      <c r="B19" s="61"/>
      <c r="C19" s="3"/>
    </row>
    <row r="20" spans="1:3" x14ac:dyDescent="0.25">
      <c r="A20" s="3"/>
      <c r="B20" s="120" t="s">
        <v>10</v>
      </c>
      <c r="C20" s="3"/>
    </row>
    <row r="21" spans="1:3" ht="75" x14ac:dyDescent="0.25">
      <c r="A21" s="3"/>
      <c r="B21" s="47" t="s">
        <v>11</v>
      </c>
      <c r="C21" s="3"/>
    </row>
    <row r="22" spans="1:3" x14ac:dyDescent="0.25">
      <c r="A22" s="3"/>
      <c r="B22" s="61"/>
      <c r="C22" s="3"/>
    </row>
    <row r="23" spans="1:3" x14ac:dyDescent="0.25">
      <c r="A23" s="3"/>
      <c r="B23" s="119" t="s">
        <v>12</v>
      </c>
      <c r="C23" s="3"/>
    </row>
    <row r="24" spans="1:3" ht="5.45" customHeight="1" x14ac:dyDescent="0.25">
      <c r="A24" s="3"/>
      <c r="B24" s="119"/>
      <c r="C24" s="3"/>
    </row>
    <row r="25" spans="1:3" ht="45" x14ac:dyDescent="0.25">
      <c r="A25" s="3"/>
      <c r="B25" s="61" t="s">
        <v>13</v>
      </c>
      <c r="C25" s="3"/>
    </row>
    <row r="26" spans="1:3" ht="5.45" customHeight="1" x14ac:dyDescent="0.25">
      <c r="A26" s="3"/>
      <c r="B26" s="119"/>
      <c r="C26" s="3"/>
    </row>
    <row r="27" spans="1:3" ht="60" x14ac:dyDescent="0.25">
      <c r="A27" s="3"/>
      <c r="B27" s="61" t="s">
        <v>14</v>
      </c>
      <c r="C27" s="3"/>
    </row>
    <row r="28" spans="1:3" ht="5.45" customHeight="1" x14ac:dyDescent="0.25">
      <c r="A28" s="3"/>
      <c r="B28" s="119"/>
      <c r="C28" s="3"/>
    </row>
    <row r="29" spans="1:3" ht="135" x14ac:dyDescent="0.25">
      <c r="A29" s="3"/>
      <c r="B29" s="47" t="s">
        <v>15</v>
      </c>
      <c r="C29" s="3"/>
    </row>
    <row r="30" spans="1:3" x14ac:dyDescent="0.25">
      <c r="A30" s="3"/>
      <c r="B30" s="61"/>
      <c r="C30" s="3"/>
    </row>
    <row r="31" spans="1:3" x14ac:dyDescent="0.25">
      <c r="A31" s="3"/>
      <c r="B31" s="119" t="s">
        <v>16</v>
      </c>
      <c r="C31" s="3"/>
    </row>
    <row r="32" spans="1:3" ht="5.45" customHeight="1" x14ac:dyDescent="0.25">
      <c r="A32" s="3"/>
      <c r="B32" s="119"/>
      <c r="C32" s="3"/>
    </row>
    <row r="33" spans="1:3" x14ac:dyDescent="0.25">
      <c r="A33" s="3"/>
      <c r="B33" s="47" t="s">
        <v>17</v>
      </c>
      <c r="C33" s="3"/>
    </row>
    <row r="34" spans="1:3" x14ac:dyDescent="0.25">
      <c r="A34" s="3"/>
      <c r="B34" s="15" t="s">
        <v>18</v>
      </c>
      <c r="C34" s="3"/>
    </row>
    <row r="35" spans="1:3" x14ac:dyDescent="0.25"/>
    <row r="36" spans="1:3" x14ac:dyDescent="0.25"/>
  </sheetData>
  <sheetProtection algorithmName="SHA-512" hashValue="YKHOfrdN5FJEdtUYAmzfkT4q4nWtgBNp18g03mO7HF/KOQN+XbIEubbqBkk45hTFIzg0JDTjYUVGC0PIZNlk0Q==" saltValue="sU1XfxRCj2DzAW8B6FPTy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B2DF-5519-4544-A5EE-5D2FE8DC461A}">
  <sheetPr codeName="Sheet2"/>
  <dimension ref="A1:AH157"/>
  <sheetViews>
    <sheetView zoomScaleNormal="100" workbookViewId="0">
      <pane xSplit="1" topLeftCell="B1" activePane="topRight" state="frozen"/>
      <selection activeCell="G220" sqref="G220"/>
      <selection pane="topRight" activeCell="B26" sqref="B26"/>
    </sheetView>
  </sheetViews>
  <sheetFormatPr defaultColWidth="0" defaultRowHeight="15" zeroHeight="1" x14ac:dyDescent="0.25"/>
  <cols>
    <col min="1" max="1" width="76.42578125" customWidth="1"/>
    <col min="2" max="2" width="31.140625" customWidth="1"/>
    <col min="3" max="3" width="21" customWidth="1"/>
    <col min="4" max="4" width="10.5703125" customWidth="1"/>
    <col min="5" max="5" width="12.140625" customWidth="1"/>
    <col min="6" max="9" width="13.85546875" customWidth="1"/>
    <col min="10" max="10" width="15.42578125" customWidth="1"/>
    <col min="11" max="11" width="13.85546875" customWidth="1"/>
    <col min="12" max="31" width="10.5703125" customWidth="1"/>
    <col min="32" max="34" width="0" hidden="1" customWidth="1"/>
    <col min="35" max="16384" width="10.5703125" hidden="1"/>
  </cols>
  <sheetData>
    <row r="1" spans="1:32" ht="18.75" x14ac:dyDescent="0.3">
      <c r="A1" s="50" t="s">
        <v>19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3"/>
    </row>
    <row r="2" spans="1:32" x14ac:dyDescent="0.25">
      <c r="A2" s="9"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x14ac:dyDescent="0.25">
      <c r="A3" s="3" t="s">
        <v>21</v>
      </c>
      <c r="B3" s="147"/>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x14ac:dyDescent="0.25">
      <c r="A4" s="3" t="s">
        <v>22</v>
      </c>
      <c r="B4" s="147"/>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x14ac:dyDescent="0.25">
      <c r="A5" s="3" t="s">
        <v>23</v>
      </c>
      <c r="B5" s="147"/>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x14ac:dyDescent="0.25">
      <c r="A6" s="3" t="s">
        <v>24</v>
      </c>
      <c r="B6" s="147"/>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x14ac:dyDescent="0.25">
      <c r="A7" s="3" t="s">
        <v>291</v>
      </c>
      <c r="B7" s="234"/>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x14ac:dyDescent="0.25">
      <c r="A8" s="3" t="s">
        <v>313</v>
      </c>
      <c r="B8" s="282"/>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2" x14ac:dyDescent="0.25">
      <c r="A9" s="33" t="s">
        <v>290</v>
      </c>
      <c r="B9" s="234"/>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x14ac:dyDescent="0.25">
      <c r="A10" s="33" t="s">
        <v>344</v>
      </c>
      <c r="B10" s="233"/>
      <c r="C10" s="99" t="str">
        <f>IF(AND(NOT(Project_replaces_coal),Project_involves_coal),"Please check this input, this project appears to involve coal","")</f>
        <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x14ac:dyDescent="0.25">
      <c r="A11" s="33" t="s">
        <v>315</v>
      </c>
      <c r="B11" s="233"/>
      <c r="C11" s="9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ht="30" x14ac:dyDescent="0.25">
      <c r="A12" s="224" t="s">
        <v>314</v>
      </c>
      <c r="B12" s="233"/>
      <c r="C12" s="99" t="str">
        <f>IFERROR(IF(AND(Project_replaces_coal,Exempt_From_2037_Coal_Phaseout),"Please explain in your application why coal could continue to be used past the start of 2037.",""),"")</f>
        <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2" x14ac:dyDescent="0.25">
      <c r="A13" s="33" t="s">
        <v>25</v>
      </c>
      <c r="B13" s="147"/>
      <c r="C13" s="99" t="str">
        <f>IF(ISNUMBER(Life_input),IF(Life_input&gt;Max_life,"Maximum life project will be evaluated over is "&amp;Max_life&amp;" years",""),"")</f>
        <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x14ac:dyDescent="0.25">
      <c r="A14" s="33" t="s">
        <v>26</v>
      </c>
      <c r="B14" s="235"/>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row r="15" spans="1:32" x14ac:dyDescent="0.25">
      <c r="A15" s="3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32" x14ac:dyDescent="0.25">
      <c r="A16" s="129" t="s">
        <v>27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x14ac:dyDescent="0.25">
      <c r="A17" s="33" t="s">
        <v>28</v>
      </c>
      <c r="B17" s="233"/>
      <c r="C17" s="41" t="str">
        <f>IF(AND(Start_Yr&lt;&gt;"",OR(Real_Nom="Nominal",AND(Real_Nom="Real",ISNUMBER($B$18)))),1,"")</f>
        <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x14ac:dyDescent="0.25">
      <c r="A18" s="33" t="str">
        <f>IF(LEFT(Real_Nom)="R","What year are the real values specified in (eg, 2020, 2021, 2022, etc)",".")</f>
        <v>.</v>
      </c>
      <c r="B18" s="147"/>
      <c r="C18" s="99" t="str">
        <f ca="1">IF(Real_Nom="Real",IF($B$18="","Enter the Real year",IF($B$18&gt;YEAR(NOW()),"You have entered a year in the future.  Only current or past years are allowed for pricing in real terms","")),"")</f>
        <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x14ac:dyDescent="0.25">
      <c r="A19" s="3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x14ac:dyDescent="0.25">
      <c r="A20" s="129" t="s">
        <v>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x14ac:dyDescent="0.25">
      <c r="A21" s="33"/>
      <c r="B21" s="3" t="str">
        <f>IF(Start_Yr="","Enter start year!",Start_Yr)</f>
        <v>Enter start year!</v>
      </c>
      <c r="C21" s="3" t="str">
        <f t="shared" ref="C21:AE21" si="0">IF(ISNUMBER(B21),B21+1,B21)</f>
        <v>Enter start year!</v>
      </c>
      <c r="D21" s="3" t="str">
        <f t="shared" si="0"/>
        <v>Enter start year!</v>
      </c>
      <c r="E21" s="3" t="str">
        <f t="shared" si="0"/>
        <v>Enter start year!</v>
      </c>
      <c r="F21" s="3" t="str">
        <f t="shared" si="0"/>
        <v>Enter start year!</v>
      </c>
      <c r="G21" s="3" t="str">
        <f t="shared" si="0"/>
        <v>Enter start year!</v>
      </c>
      <c r="H21" s="3" t="str">
        <f t="shared" si="0"/>
        <v>Enter start year!</v>
      </c>
      <c r="I21" s="3" t="str">
        <f t="shared" si="0"/>
        <v>Enter start year!</v>
      </c>
      <c r="J21" s="3" t="str">
        <f t="shared" si="0"/>
        <v>Enter start year!</v>
      </c>
      <c r="K21" s="3" t="str">
        <f t="shared" si="0"/>
        <v>Enter start year!</v>
      </c>
      <c r="L21" s="3" t="str">
        <f t="shared" si="0"/>
        <v>Enter start year!</v>
      </c>
      <c r="M21" s="3" t="str">
        <f t="shared" si="0"/>
        <v>Enter start year!</v>
      </c>
      <c r="N21" s="3" t="str">
        <f t="shared" si="0"/>
        <v>Enter start year!</v>
      </c>
      <c r="O21" s="3" t="str">
        <f t="shared" si="0"/>
        <v>Enter start year!</v>
      </c>
      <c r="P21" s="3" t="str">
        <f t="shared" si="0"/>
        <v>Enter start year!</v>
      </c>
      <c r="Q21" s="3" t="str">
        <f t="shared" si="0"/>
        <v>Enter start year!</v>
      </c>
      <c r="R21" s="3" t="str">
        <f t="shared" si="0"/>
        <v>Enter start year!</v>
      </c>
      <c r="S21" s="3" t="str">
        <f t="shared" si="0"/>
        <v>Enter start year!</v>
      </c>
      <c r="T21" s="3" t="str">
        <f t="shared" si="0"/>
        <v>Enter start year!</v>
      </c>
      <c r="U21" s="3" t="str">
        <f t="shared" si="0"/>
        <v>Enter start year!</v>
      </c>
      <c r="V21" s="3" t="str">
        <f t="shared" si="0"/>
        <v>Enter start year!</v>
      </c>
      <c r="W21" s="3" t="str">
        <f t="shared" si="0"/>
        <v>Enter start year!</v>
      </c>
      <c r="X21" s="3" t="str">
        <f t="shared" si="0"/>
        <v>Enter start year!</v>
      </c>
      <c r="Y21" s="3" t="str">
        <f t="shared" si="0"/>
        <v>Enter start year!</v>
      </c>
      <c r="Z21" s="3" t="str">
        <f t="shared" si="0"/>
        <v>Enter start year!</v>
      </c>
      <c r="AA21" s="3" t="str">
        <f t="shared" si="0"/>
        <v>Enter start year!</v>
      </c>
      <c r="AB21" s="3" t="str">
        <f t="shared" si="0"/>
        <v>Enter start year!</v>
      </c>
      <c r="AC21" s="3" t="str">
        <f t="shared" si="0"/>
        <v>Enter start year!</v>
      </c>
      <c r="AD21" s="3" t="str">
        <f t="shared" si="0"/>
        <v>Enter start year!</v>
      </c>
      <c r="AE21" s="3" t="str">
        <f t="shared" si="0"/>
        <v>Enter start year!</v>
      </c>
      <c r="AF21" s="3"/>
    </row>
    <row r="22" spans="1:32" x14ac:dyDescent="0.25">
      <c r="A22" s="33" t="s">
        <v>30</v>
      </c>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3"/>
    </row>
    <row r="23" spans="1:32" x14ac:dyDescent="0.25">
      <c r="A23" s="33" t="s">
        <v>31</v>
      </c>
      <c r="B23" s="24">
        <v>1</v>
      </c>
      <c r="C23" s="24">
        <f t="shared" ref="C23:AE23" si="1">IF(Real_Nom="Nominal",B23*(1+C22),1)</f>
        <v>1</v>
      </c>
      <c r="D23" s="24">
        <f t="shared" si="1"/>
        <v>1</v>
      </c>
      <c r="E23" s="24">
        <f t="shared" si="1"/>
        <v>1</v>
      </c>
      <c r="F23" s="24">
        <f t="shared" si="1"/>
        <v>1</v>
      </c>
      <c r="G23" s="24">
        <f t="shared" si="1"/>
        <v>1</v>
      </c>
      <c r="H23" s="24">
        <f t="shared" si="1"/>
        <v>1</v>
      </c>
      <c r="I23" s="24">
        <f t="shared" si="1"/>
        <v>1</v>
      </c>
      <c r="J23" s="24">
        <f t="shared" si="1"/>
        <v>1</v>
      </c>
      <c r="K23" s="24">
        <f t="shared" si="1"/>
        <v>1</v>
      </c>
      <c r="L23" s="24">
        <f t="shared" si="1"/>
        <v>1</v>
      </c>
      <c r="M23" s="24">
        <f t="shared" si="1"/>
        <v>1</v>
      </c>
      <c r="N23" s="24">
        <f t="shared" si="1"/>
        <v>1</v>
      </c>
      <c r="O23" s="24">
        <f t="shared" si="1"/>
        <v>1</v>
      </c>
      <c r="P23" s="24">
        <f t="shared" si="1"/>
        <v>1</v>
      </c>
      <c r="Q23" s="24">
        <f t="shared" si="1"/>
        <v>1</v>
      </c>
      <c r="R23" s="24">
        <f t="shared" si="1"/>
        <v>1</v>
      </c>
      <c r="S23" s="24">
        <f t="shared" si="1"/>
        <v>1</v>
      </c>
      <c r="T23" s="24">
        <f t="shared" si="1"/>
        <v>1</v>
      </c>
      <c r="U23" s="24">
        <f t="shared" si="1"/>
        <v>1</v>
      </c>
      <c r="V23" s="24">
        <f t="shared" si="1"/>
        <v>1</v>
      </c>
      <c r="W23" s="24">
        <f t="shared" si="1"/>
        <v>1</v>
      </c>
      <c r="X23" s="24">
        <f t="shared" si="1"/>
        <v>1</v>
      </c>
      <c r="Y23" s="24">
        <f t="shared" si="1"/>
        <v>1</v>
      </c>
      <c r="Z23" s="24">
        <f t="shared" si="1"/>
        <v>1</v>
      </c>
      <c r="AA23" s="24">
        <f t="shared" si="1"/>
        <v>1</v>
      </c>
      <c r="AB23" s="24">
        <f t="shared" si="1"/>
        <v>1</v>
      </c>
      <c r="AC23" s="24">
        <f t="shared" si="1"/>
        <v>1</v>
      </c>
      <c r="AD23" s="24">
        <f t="shared" si="1"/>
        <v>1</v>
      </c>
      <c r="AE23" s="24">
        <f t="shared" si="1"/>
        <v>1</v>
      </c>
      <c r="AF23" s="3"/>
    </row>
    <row r="24" spans="1:32" x14ac:dyDescent="0.25">
      <c r="A24" s="6"/>
      <c r="B24" s="99" t="str" cm="1">
        <f t="array" ref="B24">IF($C$17=1,
IF(SUM(IF(ISNUMBER(#REF!),IF(#REF!&gt;#REF!,1)))&gt;0,"You have entered some expected ETS prices that are greater than the ETS price cap!","")&amp;"  "&amp;
IF(SUM(IF(ISNUMBER(#REF!),IF(#REF!&lt;#REF!,1)))&gt;0,"You have entered some expected ETS prices that are lower than the ETS price floor!",""),"")</f>
        <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x14ac:dyDescent="0.25">
      <c r="A25" s="129" t="s">
        <v>299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2" x14ac:dyDescent="0.25">
      <c r="A26" s="33" t="s">
        <v>32</v>
      </c>
      <c r="B26" s="59"/>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2" x14ac:dyDescent="0.25">
      <c r="A27" s="33" t="s">
        <v>300</v>
      </c>
      <c r="B27" s="60"/>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2"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2" ht="15.75" thickBot="1" x14ac:dyDescent="0.3">
      <c r="A29" s="9" t="s">
        <v>33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2" ht="57.95" customHeight="1" thickBot="1" x14ac:dyDescent="0.3">
      <c r="A30" s="3"/>
      <c r="B30" s="84" t="s">
        <v>34</v>
      </c>
      <c r="C30" s="85" t="s">
        <v>35</v>
      </c>
      <c r="D30" s="85" t="s">
        <v>36</v>
      </c>
      <c r="E30" s="85" t="s">
        <v>37</v>
      </c>
      <c r="F30" s="85" t="s">
        <v>38</v>
      </c>
      <c r="G30" s="85" t="s">
        <v>39</v>
      </c>
      <c r="H30" s="85" t="s">
        <v>40</v>
      </c>
      <c r="I30" s="85" t="s">
        <v>41</v>
      </c>
      <c r="J30" s="85" t="s">
        <v>42</v>
      </c>
      <c r="K30" s="85" t="s">
        <v>43</v>
      </c>
      <c r="L30" s="85" t="s">
        <v>44</v>
      </c>
      <c r="M30" s="85" t="s">
        <v>45</v>
      </c>
      <c r="N30" s="86" t="s">
        <v>46</v>
      </c>
      <c r="O30" s="3"/>
      <c r="P30" s="3"/>
      <c r="Q30" s="3"/>
      <c r="R30" s="3"/>
      <c r="S30" s="3"/>
      <c r="T30" s="3"/>
      <c r="U30" s="3"/>
      <c r="V30" s="3"/>
      <c r="W30" s="3"/>
      <c r="X30" s="3"/>
      <c r="Y30" s="3"/>
      <c r="Z30" s="3"/>
      <c r="AA30" s="3"/>
      <c r="AB30" s="3"/>
      <c r="AC30" s="3"/>
      <c r="AD30" s="3"/>
      <c r="AE30" s="3"/>
      <c r="AF30" s="3"/>
    </row>
    <row r="31" spans="1:32" x14ac:dyDescent="0.25">
      <c r="A31" s="3" t="s">
        <v>47</v>
      </c>
      <c r="B31" s="49" t="s">
        <v>48</v>
      </c>
      <c r="C31" s="49" t="s">
        <v>49</v>
      </c>
      <c r="D31" s="49" t="s">
        <v>49</v>
      </c>
      <c r="E31" s="49" t="s">
        <v>49</v>
      </c>
      <c r="F31" s="49" t="s">
        <v>49</v>
      </c>
      <c r="G31" s="49" t="s">
        <v>49</v>
      </c>
      <c r="H31" s="49" t="s">
        <v>49</v>
      </c>
      <c r="I31" s="49" t="s">
        <v>50</v>
      </c>
      <c r="J31" s="49" t="s">
        <v>49</v>
      </c>
      <c r="K31" s="49" t="s">
        <v>50</v>
      </c>
      <c r="L31" s="49" t="s">
        <v>50</v>
      </c>
      <c r="M31" s="49" t="s">
        <v>51</v>
      </c>
      <c r="N31" s="49" t="s">
        <v>48</v>
      </c>
      <c r="O31" s="3"/>
      <c r="P31" s="3"/>
      <c r="Q31" s="3"/>
      <c r="R31" s="3"/>
      <c r="S31" s="3"/>
      <c r="T31" s="3"/>
      <c r="U31" s="3"/>
      <c r="V31" s="3"/>
      <c r="W31" s="3"/>
      <c r="X31" s="3"/>
      <c r="Y31" s="3"/>
      <c r="Z31" s="3"/>
      <c r="AA31" s="3"/>
      <c r="AB31" s="3"/>
      <c r="AC31" s="3"/>
      <c r="AD31" s="3"/>
      <c r="AE31" s="3"/>
      <c r="AF31" s="3"/>
    </row>
    <row r="32" spans="1:32" x14ac:dyDescent="0.25">
      <c r="A32" s="3" t="s">
        <v>52</v>
      </c>
      <c r="B32" s="303">
        <f>1.08*0.054</f>
        <v>5.8320000000000004E-2</v>
      </c>
      <c r="C32" s="303">
        <f>0.015+Transport_EF_Bio</f>
        <v>2.0107199999999999E-2</v>
      </c>
      <c r="D32" s="303">
        <f>0.015+Transport_EF_Bio</f>
        <v>2.0107199999999999E-2</v>
      </c>
      <c r="E32" s="303">
        <f>0.015+Transport_EF_Bio</f>
        <v>2.0107199999999999E-2</v>
      </c>
      <c r="F32" s="303">
        <f>2.62+Transport_EF_Coal</f>
        <v>2.6225536000000003</v>
      </c>
      <c r="G32" s="303">
        <f>2.01+Transport_EF_Coal</f>
        <v>2.0125535999999999</v>
      </c>
      <c r="H32" s="303">
        <f>1.43+Transport_EF_Coal</f>
        <v>1.4325535999999999</v>
      </c>
      <c r="I32" s="303">
        <v>2.66</v>
      </c>
      <c r="J32" s="303">
        <v>3.02</v>
      </c>
      <c r="K32" s="303">
        <v>2.92</v>
      </c>
      <c r="L32" s="303">
        <v>3.02</v>
      </c>
      <c r="M32" s="303">
        <f>54+3.212</f>
        <v>57.212000000000003</v>
      </c>
      <c r="N32" s="303">
        <v>6.2E-2</v>
      </c>
      <c r="O32" s="3"/>
      <c r="P32" s="3"/>
      <c r="Q32" s="3"/>
      <c r="R32" s="3"/>
      <c r="S32" s="3"/>
      <c r="T32" s="3"/>
      <c r="U32" s="3"/>
      <c r="V32" s="3"/>
      <c r="W32" s="3"/>
      <c r="X32" s="3"/>
      <c r="Y32" s="3"/>
      <c r="Z32" s="3"/>
      <c r="AA32" s="3"/>
      <c r="AB32" s="3"/>
      <c r="AC32" s="3"/>
      <c r="AD32" s="3"/>
      <c r="AE32" s="3"/>
      <c r="AF32" s="3"/>
    </row>
    <row r="33" spans="1:32" x14ac:dyDescent="0.25">
      <c r="A33" s="3" t="s">
        <v>253</v>
      </c>
      <c r="B33" s="303" t="s">
        <v>53</v>
      </c>
      <c r="C33" s="307"/>
      <c r="D33" s="307"/>
      <c r="E33" s="307"/>
      <c r="F33" s="307"/>
      <c r="G33" s="307"/>
      <c r="H33" s="307"/>
      <c r="I33" s="303" t="s">
        <v>53</v>
      </c>
      <c r="J33" s="303" t="s">
        <v>53</v>
      </c>
      <c r="K33" s="303" t="s">
        <v>53</v>
      </c>
      <c r="L33" s="303" t="s">
        <v>53</v>
      </c>
      <c r="M33" s="303" t="s">
        <v>53</v>
      </c>
      <c r="N33" s="307"/>
      <c r="O33" s="3"/>
      <c r="P33" s="3"/>
      <c r="Q33" s="3"/>
      <c r="R33" s="3"/>
      <c r="S33" s="3"/>
      <c r="T33" s="3"/>
      <c r="U33" s="3"/>
      <c r="V33" s="3"/>
      <c r="W33" s="3"/>
      <c r="X33" s="3"/>
      <c r="Y33" s="3"/>
      <c r="Z33" s="3"/>
      <c r="AA33" s="3"/>
      <c r="AB33" s="3"/>
      <c r="AC33" s="3"/>
      <c r="AD33" s="3"/>
      <c r="AE33" s="3"/>
      <c r="AF33" s="3"/>
    </row>
    <row r="34" spans="1:32" x14ac:dyDescent="0.25">
      <c r="A34" s="3" t="s">
        <v>254</v>
      </c>
      <c r="B34" s="303">
        <f t="shared" ref="B34:N34" si="2">IF(AND(B33&lt;&gt;"",ISNUMBER(B33)),B33,B32)</f>
        <v>5.8320000000000004E-2</v>
      </c>
      <c r="C34" s="303">
        <f t="shared" si="2"/>
        <v>2.0107199999999999E-2</v>
      </c>
      <c r="D34" s="303">
        <f t="shared" si="2"/>
        <v>2.0107199999999999E-2</v>
      </c>
      <c r="E34" s="303">
        <f t="shared" si="2"/>
        <v>2.0107199999999999E-2</v>
      </c>
      <c r="F34" s="303">
        <f t="shared" si="2"/>
        <v>2.6225536000000003</v>
      </c>
      <c r="G34" s="303">
        <f t="shared" si="2"/>
        <v>2.0125535999999999</v>
      </c>
      <c r="H34" s="303">
        <f t="shared" si="2"/>
        <v>1.4325535999999999</v>
      </c>
      <c r="I34" s="303">
        <f t="shared" si="2"/>
        <v>2.66</v>
      </c>
      <c r="J34" s="303">
        <f t="shared" si="2"/>
        <v>3.02</v>
      </c>
      <c r="K34" s="303">
        <f t="shared" si="2"/>
        <v>2.92</v>
      </c>
      <c r="L34" s="303">
        <f t="shared" si="2"/>
        <v>3.02</v>
      </c>
      <c r="M34" s="303">
        <f t="shared" si="2"/>
        <v>57.212000000000003</v>
      </c>
      <c r="N34" s="303">
        <f t="shared" si="2"/>
        <v>6.2E-2</v>
      </c>
      <c r="O34" s="3"/>
      <c r="P34" s="3"/>
      <c r="Q34" s="3"/>
      <c r="R34" s="3"/>
      <c r="S34" s="3"/>
      <c r="T34" s="3"/>
      <c r="U34" s="3"/>
      <c r="V34" s="3"/>
      <c r="W34" s="3"/>
      <c r="X34" s="3"/>
      <c r="Y34" s="3"/>
      <c r="Z34" s="3"/>
      <c r="AA34" s="3"/>
      <c r="AB34" s="3"/>
      <c r="AC34" s="3"/>
      <c r="AD34" s="3"/>
      <c r="AE34" s="3"/>
      <c r="AF34" s="3"/>
    </row>
    <row r="35" spans="1:32" hidden="1" x14ac:dyDescent="0.25">
      <c r="A35" s="3" t="s">
        <v>54</v>
      </c>
      <c r="B35" s="303"/>
      <c r="C35" s="303"/>
      <c r="D35" s="303"/>
      <c r="E35" s="303"/>
      <c r="F35" s="308">
        <v>86.99</v>
      </c>
      <c r="G35" s="308">
        <v>90.25</v>
      </c>
      <c r="H35" s="308">
        <f>AVERAGE(91.02,93.83)</f>
        <v>92.424999999999997</v>
      </c>
      <c r="I35" s="306">
        <v>0.84</v>
      </c>
      <c r="J35" s="306"/>
      <c r="K35" s="306">
        <v>0.93</v>
      </c>
      <c r="L35" s="306">
        <v>0.95</v>
      </c>
      <c r="M35" s="303"/>
      <c r="N35" s="303"/>
      <c r="O35" s="3"/>
      <c r="P35" s="3"/>
      <c r="Q35" s="3"/>
      <c r="R35" s="3"/>
      <c r="S35" s="3"/>
      <c r="T35" s="3"/>
      <c r="U35" s="3"/>
      <c r="V35" s="3"/>
      <c r="W35" s="3"/>
      <c r="X35" s="3"/>
      <c r="Y35" s="3"/>
      <c r="Z35" s="3"/>
      <c r="AA35" s="3"/>
      <c r="AB35" s="3"/>
      <c r="AC35" s="3"/>
      <c r="AD35" s="3"/>
      <c r="AE35" s="3"/>
      <c r="AF35" s="3"/>
    </row>
    <row r="36" spans="1:32" hidden="1" x14ac:dyDescent="0.25">
      <c r="A36" s="3" t="s">
        <v>55</v>
      </c>
      <c r="B36" s="303"/>
      <c r="C36" s="303"/>
      <c r="D36" s="303"/>
      <c r="E36" s="303"/>
      <c r="F36" s="306"/>
      <c r="G36" s="306"/>
      <c r="H36" s="306"/>
      <c r="I36" s="306">
        <v>45.77</v>
      </c>
      <c r="J36" s="306"/>
      <c r="K36" s="306">
        <v>43.71</v>
      </c>
      <c r="L36" s="306">
        <v>42.97</v>
      </c>
      <c r="M36" s="303"/>
      <c r="N36" s="303"/>
      <c r="O36" s="3"/>
      <c r="P36" s="3"/>
      <c r="Q36" s="3"/>
      <c r="R36" s="3"/>
      <c r="S36" s="3"/>
      <c r="T36" s="3"/>
      <c r="U36" s="3"/>
      <c r="V36" s="3"/>
      <c r="W36" s="3"/>
      <c r="X36" s="3"/>
      <c r="Y36" s="3"/>
      <c r="Z36" s="3"/>
      <c r="AA36" s="3"/>
      <c r="AB36" s="3"/>
      <c r="AC36" s="3"/>
      <c r="AD36" s="3"/>
      <c r="AE36" s="3"/>
      <c r="AF36" s="3"/>
    </row>
    <row r="37" spans="1:32" x14ac:dyDescent="0.25">
      <c r="A37" s="3"/>
      <c r="B37" s="303"/>
      <c r="C37" s="303"/>
      <c r="D37" s="303"/>
      <c r="E37" s="303"/>
      <c r="F37" s="304"/>
      <c r="G37" s="304"/>
      <c r="H37" s="304"/>
      <c r="I37" s="305"/>
      <c r="J37" s="303"/>
      <c r="K37" s="305"/>
      <c r="L37" s="305"/>
      <c r="M37" s="306"/>
      <c r="N37" s="303"/>
      <c r="O37" s="3"/>
      <c r="P37" s="3"/>
      <c r="Q37" s="3"/>
      <c r="R37" s="3"/>
      <c r="S37" s="3"/>
      <c r="T37" s="3"/>
      <c r="U37" s="3"/>
      <c r="V37" s="3"/>
      <c r="W37" s="3"/>
      <c r="X37" s="3"/>
      <c r="Y37" s="3"/>
      <c r="Z37" s="3"/>
      <c r="AA37" s="3"/>
      <c r="AB37" s="3"/>
      <c r="AC37" s="3"/>
      <c r="AD37" s="3"/>
      <c r="AE37" s="3"/>
      <c r="AF37" s="3"/>
    </row>
    <row r="38" spans="1:32" x14ac:dyDescent="0.25">
      <c r="A38" s="3" t="s">
        <v>250</v>
      </c>
      <c r="B38" s="303">
        <f>GJ_MWh/1000</f>
        <v>3.5999999999999999E-3</v>
      </c>
      <c r="C38" s="303">
        <f>17/1000</f>
        <v>1.7000000000000001E-2</v>
      </c>
      <c r="D38" s="303">
        <f>6/1000</f>
        <v>6.0000000000000001E-3</v>
      </c>
      <c r="E38" s="303">
        <f>9.63/1000</f>
        <v>9.6300000000000014E-3</v>
      </c>
      <c r="F38" s="304">
        <f>F$34/F$35</f>
        <v>3.0147759512587659E-2</v>
      </c>
      <c r="G38" s="304">
        <f>G$34/G$35</f>
        <v>2.2299762880886427E-2</v>
      </c>
      <c r="H38" s="304">
        <f>H$34/H$35</f>
        <v>1.5499633216121179E-2</v>
      </c>
      <c r="I38" s="305">
        <f>I$35*I$36/1000</f>
        <v>3.8446800000000003E-2</v>
      </c>
      <c r="J38" s="303">
        <f>50.01/1000</f>
        <v>5.0009999999999999E-2</v>
      </c>
      <c r="K38" s="305">
        <f>K$35*K$36/1000</f>
        <v>4.06503E-2</v>
      </c>
      <c r="L38" s="305">
        <f>L$35*L$36/1000</f>
        <v>4.0821500000000004E-2</v>
      </c>
      <c r="M38" s="306">
        <v>1</v>
      </c>
      <c r="N38" s="303">
        <f>GJ_MWh/1000</f>
        <v>3.5999999999999999E-3</v>
      </c>
      <c r="O38" s="3"/>
      <c r="P38" s="3"/>
      <c r="Q38" s="3"/>
      <c r="R38" s="3"/>
      <c r="S38" s="3"/>
      <c r="T38" s="3"/>
      <c r="U38" s="3"/>
      <c r="V38" s="3"/>
      <c r="W38" s="3"/>
      <c r="X38" s="3"/>
      <c r="Y38" s="3"/>
      <c r="Z38" s="3"/>
      <c r="AA38" s="3"/>
      <c r="AB38" s="3"/>
      <c r="AC38" s="3"/>
      <c r="AD38" s="3"/>
      <c r="AE38" s="3"/>
      <c r="AF38" s="3"/>
    </row>
    <row r="39" spans="1:32" s="3" customFormat="1" x14ac:dyDescent="0.25">
      <c r="A39" s="3" t="s">
        <v>251</v>
      </c>
      <c r="B39" s="303" t="s">
        <v>53</v>
      </c>
      <c r="C39" s="307"/>
      <c r="D39" s="307"/>
      <c r="E39" s="307"/>
      <c r="F39" s="307"/>
      <c r="G39" s="307"/>
      <c r="H39" s="307"/>
      <c r="I39" s="303" t="s">
        <v>53</v>
      </c>
      <c r="J39" s="303" t="s">
        <v>53</v>
      </c>
      <c r="K39" s="303" t="s">
        <v>53</v>
      </c>
      <c r="L39" s="303" t="s">
        <v>53</v>
      </c>
      <c r="M39" s="303" t="s">
        <v>53</v>
      </c>
      <c r="N39" s="307"/>
    </row>
    <row r="40" spans="1:32" x14ac:dyDescent="0.25">
      <c r="A40" s="3" t="s">
        <v>252</v>
      </c>
      <c r="B40" s="303">
        <f t="shared" ref="B40:N40" si="3">IF(AND(B39&lt;&gt;"",ISNUMBER(B39)),B39,B38)</f>
        <v>3.5999999999999999E-3</v>
      </c>
      <c r="C40" s="303">
        <f t="shared" si="3"/>
        <v>1.7000000000000001E-2</v>
      </c>
      <c r="D40" s="303">
        <f t="shared" si="3"/>
        <v>6.0000000000000001E-3</v>
      </c>
      <c r="E40" s="303">
        <f t="shared" si="3"/>
        <v>9.6300000000000014E-3</v>
      </c>
      <c r="F40" s="304">
        <f t="shared" si="3"/>
        <v>3.0147759512587659E-2</v>
      </c>
      <c r="G40" s="304">
        <f t="shared" si="3"/>
        <v>2.2299762880886427E-2</v>
      </c>
      <c r="H40" s="304">
        <f t="shared" si="3"/>
        <v>1.5499633216121179E-2</v>
      </c>
      <c r="I40" s="305">
        <f t="shared" si="3"/>
        <v>3.8446800000000003E-2</v>
      </c>
      <c r="J40" s="303">
        <f t="shared" si="3"/>
        <v>5.0009999999999999E-2</v>
      </c>
      <c r="K40" s="305">
        <f t="shared" si="3"/>
        <v>4.06503E-2</v>
      </c>
      <c r="L40" s="305">
        <f t="shared" si="3"/>
        <v>4.0821500000000004E-2</v>
      </c>
      <c r="M40" s="306">
        <f t="shared" si="3"/>
        <v>1</v>
      </c>
      <c r="N40" s="303">
        <f t="shared" si="3"/>
        <v>3.5999999999999999E-3</v>
      </c>
      <c r="O40" s="3"/>
      <c r="P40" s="3"/>
      <c r="Q40" s="3"/>
      <c r="R40" s="3"/>
      <c r="S40" s="3"/>
      <c r="T40" s="3"/>
      <c r="U40" s="3"/>
      <c r="V40" s="3"/>
      <c r="W40" s="3"/>
      <c r="X40" s="3"/>
      <c r="Y40" s="3"/>
      <c r="Z40" s="3"/>
      <c r="AA40" s="3"/>
      <c r="AB40" s="3"/>
      <c r="AC40" s="3"/>
      <c r="AD40" s="3"/>
      <c r="AE40" s="3"/>
    </row>
    <row r="41" spans="1:32" ht="15.75" hidden="1" thickBot="1" x14ac:dyDescent="0.3">
      <c r="A41" s="3" t="s">
        <v>345</v>
      </c>
      <c r="B41" s="3"/>
      <c r="C41" s="24"/>
      <c r="D41" s="3"/>
      <c r="E41" s="3"/>
      <c r="F41" s="24"/>
      <c r="G41" s="26"/>
      <c r="H41" s="26"/>
      <c r="I41" s="26"/>
      <c r="J41" s="26"/>
      <c r="K41" s="26"/>
      <c r="L41" s="26"/>
      <c r="M41" s="26"/>
      <c r="N41" s="3"/>
      <c r="O41" s="3"/>
      <c r="P41" s="3"/>
      <c r="Q41" s="3"/>
      <c r="R41" s="3"/>
      <c r="S41" s="3"/>
      <c r="T41" s="3"/>
      <c r="U41" s="3"/>
      <c r="V41" s="3"/>
      <c r="W41" s="3"/>
      <c r="X41" s="3"/>
      <c r="Y41" s="3"/>
      <c r="Z41" s="3"/>
      <c r="AA41" s="3"/>
      <c r="AB41" s="3"/>
      <c r="AC41" s="3"/>
      <c r="AD41" s="3"/>
      <c r="AE41" s="3"/>
      <c r="AF41" s="3"/>
    </row>
    <row r="42" spans="1:32" hidden="1" x14ac:dyDescent="0.25">
      <c r="A42" s="87" t="s">
        <v>51</v>
      </c>
      <c r="B42" s="80">
        <f t="shared" ref="B42:N42" si="4">B32/B38</f>
        <v>16.200000000000003</v>
      </c>
      <c r="C42" s="80">
        <f t="shared" si="4"/>
        <v>1.1827764705882351</v>
      </c>
      <c r="D42" s="80">
        <f t="shared" si="4"/>
        <v>3.3511999999999995</v>
      </c>
      <c r="E42" s="80">
        <f t="shared" si="4"/>
        <v>2.0879750778816195</v>
      </c>
      <c r="F42" s="80">
        <f t="shared" si="4"/>
        <v>86.99</v>
      </c>
      <c r="G42" s="80">
        <f t="shared" si="4"/>
        <v>90.25</v>
      </c>
      <c r="H42" s="80">
        <f t="shared" si="4"/>
        <v>92.424999999999997</v>
      </c>
      <c r="I42" s="80">
        <f t="shared" si="4"/>
        <v>69.186512271502437</v>
      </c>
      <c r="J42" s="80">
        <f t="shared" si="4"/>
        <v>60.387922415516897</v>
      </c>
      <c r="K42" s="80">
        <f t="shared" si="4"/>
        <v>71.832188200333078</v>
      </c>
      <c r="L42" s="80">
        <f t="shared" si="4"/>
        <v>73.980622956040321</v>
      </c>
      <c r="M42" s="80">
        <f t="shared" si="4"/>
        <v>57.212000000000003</v>
      </c>
      <c r="N42" s="81">
        <f t="shared" si="4"/>
        <v>17.222222222222221</v>
      </c>
      <c r="O42" s="3"/>
      <c r="P42" s="3"/>
      <c r="Q42" s="3"/>
      <c r="R42" s="3"/>
      <c r="S42" s="3"/>
      <c r="T42" s="3"/>
      <c r="U42" s="3"/>
      <c r="V42" s="3"/>
      <c r="W42" s="3"/>
      <c r="X42" s="3"/>
      <c r="Y42" s="3"/>
      <c r="Z42" s="3"/>
      <c r="AA42" s="3"/>
      <c r="AB42" s="3"/>
      <c r="AC42" s="3"/>
      <c r="AD42" s="3"/>
      <c r="AE42" s="3"/>
      <c r="AF42" s="3"/>
    </row>
    <row r="43" spans="1:32" hidden="1" x14ac:dyDescent="0.25">
      <c r="A43" s="88" t="s">
        <v>48</v>
      </c>
      <c r="B43" s="136">
        <f>B$34</f>
        <v>5.8320000000000004E-2</v>
      </c>
      <c r="C43" s="95">
        <f t="shared" ref="C43:N43" si="5">C42*GJ_MWh/1000</f>
        <v>4.2579952941176466E-3</v>
      </c>
      <c r="D43" s="95">
        <f t="shared" si="5"/>
        <v>1.2064319999999998E-2</v>
      </c>
      <c r="E43" s="95">
        <f t="shared" si="5"/>
        <v>7.5167102803738303E-3</v>
      </c>
      <c r="F43" s="95">
        <f t="shared" si="5"/>
        <v>0.313164</v>
      </c>
      <c r="G43" s="95">
        <f t="shared" si="5"/>
        <v>0.32490000000000002</v>
      </c>
      <c r="H43" s="95">
        <f t="shared" si="5"/>
        <v>0.33273000000000003</v>
      </c>
      <c r="I43" s="95">
        <f t="shared" si="5"/>
        <v>0.24907144417740879</v>
      </c>
      <c r="J43" s="95">
        <f t="shared" si="5"/>
        <v>0.21739652069586082</v>
      </c>
      <c r="K43" s="95">
        <f t="shared" si="5"/>
        <v>0.25859587752119911</v>
      </c>
      <c r="L43" s="95">
        <f t="shared" si="5"/>
        <v>0.26633024264174515</v>
      </c>
      <c r="M43" s="106">
        <f t="shared" si="5"/>
        <v>0.20596320000000004</v>
      </c>
      <c r="N43" s="96">
        <f t="shared" si="5"/>
        <v>6.2E-2</v>
      </c>
      <c r="O43" s="3"/>
      <c r="P43" s="3"/>
      <c r="Q43" s="3"/>
      <c r="R43" s="3"/>
      <c r="S43" s="3"/>
      <c r="T43" s="3"/>
      <c r="U43" s="3"/>
      <c r="V43" s="3"/>
      <c r="W43" s="3"/>
      <c r="X43" s="3"/>
      <c r="Y43" s="3"/>
      <c r="Z43" s="3"/>
      <c r="AA43" s="3"/>
      <c r="AB43" s="3"/>
      <c r="AC43" s="3"/>
      <c r="AD43" s="3"/>
      <c r="AE43" s="3"/>
      <c r="AF43" s="3"/>
    </row>
    <row r="44" spans="1:32" hidden="1" x14ac:dyDescent="0.25">
      <c r="A44" s="88" t="s">
        <v>49</v>
      </c>
      <c r="B44" s="68" t="e">
        <f>NA()</f>
        <v>#N/A</v>
      </c>
      <c r="C44" s="132">
        <f t="shared" ref="C44:H44" si="6">C$34</f>
        <v>2.0107199999999999E-2</v>
      </c>
      <c r="D44" s="132">
        <f t="shared" si="6"/>
        <v>2.0107199999999999E-2</v>
      </c>
      <c r="E44" s="132">
        <f t="shared" si="6"/>
        <v>2.0107199999999999E-2</v>
      </c>
      <c r="F44" s="94">
        <f t="shared" si="6"/>
        <v>2.6225536000000003</v>
      </c>
      <c r="G44" s="94">
        <f t="shared" si="6"/>
        <v>2.0125535999999999</v>
      </c>
      <c r="H44" s="94">
        <f t="shared" si="6"/>
        <v>1.4325535999999999</v>
      </c>
      <c r="I44" s="93">
        <f>I34/I35</f>
        <v>3.166666666666667</v>
      </c>
      <c r="J44" s="94">
        <f>J$34</f>
        <v>3.02</v>
      </c>
      <c r="K44" s="93">
        <f>K34/K35</f>
        <v>3.139784946236559</v>
      </c>
      <c r="L44" s="93">
        <f>L34/L35</f>
        <v>3.1789473684210527</v>
      </c>
      <c r="M44" s="82" t="e">
        <f>NA()</f>
        <v>#N/A</v>
      </c>
      <c r="N44" s="83" t="e">
        <f>NA()</f>
        <v>#N/A</v>
      </c>
      <c r="O44" s="3"/>
      <c r="P44" s="3"/>
      <c r="Q44" s="3"/>
      <c r="R44" s="3"/>
      <c r="S44" s="3"/>
      <c r="T44" s="3"/>
      <c r="U44" s="3"/>
      <c r="V44" s="3"/>
      <c r="W44" s="3"/>
      <c r="X44" s="3"/>
      <c r="Y44" s="3"/>
      <c r="Z44" s="3"/>
      <c r="AA44" s="3"/>
      <c r="AB44" s="3"/>
      <c r="AC44" s="3"/>
      <c r="AD44" s="3"/>
      <c r="AE44" s="3"/>
      <c r="AF44" s="3"/>
    </row>
    <row r="45" spans="1:32" ht="15.75" hidden="1" thickBot="1" x14ac:dyDescent="0.3">
      <c r="A45" s="89" t="s">
        <v>50</v>
      </c>
      <c r="B45" s="69" t="e">
        <f>NA()</f>
        <v>#N/A</v>
      </c>
      <c r="C45" s="137" t="e">
        <f>NA()</f>
        <v>#N/A</v>
      </c>
      <c r="D45" s="137" t="e">
        <f>NA()</f>
        <v>#N/A</v>
      </c>
      <c r="E45" s="137" t="e">
        <f>NA()</f>
        <v>#N/A</v>
      </c>
      <c r="F45" s="138" t="e">
        <f>NA()</f>
        <v>#N/A</v>
      </c>
      <c r="G45" s="138" t="e">
        <f>NA()</f>
        <v>#N/A</v>
      </c>
      <c r="H45" s="138" t="e">
        <f>NA()</f>
        <v>#N/A</v>
      </c>
      <c r="I45" s="139">
        <f>I$34</f>
        <v>2.66</v>
      </c>
      <c r="J45" s="138">
        <f>J34/J48</f>
        <v>1.6126800000000001</v>
      </c>
      <c r="K45" s="139">
        <f>K$34</f>
        <v>2.92</v>
      </c>
      <c r="L45" s="139">
        <f>L$34</f>
        <v>3.02</v>
      </c>
      <c r="M45" s="138" t="e">
        <f>NA()</f>
        <v>#N/A</v>
      </c>
      <c r="N45" s="140" t="e">
        <f>NA()</f>
        <v>#N/A</v>
      </c>
      <c r="O45" s="3"/>
      <c r="P45" s="3"/>
      <c r="Q45" s="3"/>
      <c r="R45" s="3"/>
      <c r="S45" s="3"/>
      <c r="T45" s="3"/>
      <c r="U45" s="3"/>
      <c r="V45" s="3"/>
      <c r="W45" s="3"/>
      <c r="X45" s="3"/>
      <c r="Y45" s="3"/>
      <c r="Z45" s="3"/>
      <c r="AA45" s="3"/>
      <c r="AB45" s="3"/>
      <c r="AC45" s="3"/>
      <c r="AD45" s="3"/>
      <c r="AE45" s="3"/>
      <c r="AF45" s="3"/>
    </row>
    <row r="46" spans="1:32" ht="15.75" hidden="1" thickBot="1" x14ac:dyDescent="0.3">
      <c r="A46" s="3" t="s">
        <v>56</v>
      </c>
      <c r="B46" s="90" t="s">
        <v>48</v>
      </c>
      <c r="C46" s="91" t="s">
        <v>49</v>
      </c>
      <c r="D46" s="91" t="s">
        <v>49</v>
      </c>
      <c r="E46" s="91" t="s">
        <v>49</v>
      </c>
      <c r="F46" s="91" t="s">
        <v>51</v>
      </c>
      <c r="G46" s="91" t="s">
        <v>51</v>
      </c>
      <c r="H46" s="91" t="s">
        <v>51</v>
      </c>
      <c r="I46" s="91" t="s">
        <v>50</v>
      </c>
      <c r="J46" s="91" t="s">
        <v>49</v>
      </c>
      <c r="K46" s="91" t="s">
        <v>50</v>
      </c>
      <c r="L46" s="91" t="s">
        <v>50</v>
      </c>
      <c r="M46" s="91" t="s">
        <v>51</v>
      </c>
      <c r="N46" s="92" t="s">
        <v>48</v>
      </c>
      <c r="O46" s="3"/>
      <c r="P46" s="3"/>
      <c r="Q46" s="3"/>
      <c r="R46" s="3"/>
      <c r="S46" s="3"/>
      <c r="T46" s="3"/>
      <c r="U46" s="3"/>
      <c r="V46" s="3"/>
      <c r="W46" s="3"/>
      <c r="X46" s="3"/>
      <c r="Y46" s="3"/>
      <c r="Z46" s="3"/>
      <c r="AA46" s="3"/>
      <c r="AB46" s="3"/>
      <c r="AC46" s="3"/>
      <c r="AD46" s="3"/>
      <c r="AE46" s="3"/>
      <c r="AF46" s="3"/>
    </row>
    <row r="47" spans="1:32" ht="15.75" hidden="1" thickBot="1" x14ac:dyDescent="0.3">
      <c r="A47" s="3" t="s">
        <v>346</v>
      </c>
      <c r="B47" s="82"/>
      <c r="C47" s="82"/>
      <c r="D47" s="82"/>
      <c r="E47" s="82"/>
      <c r="F47" s="82"/>
      <c r="G47" s="82"/>
      <c r="H47" s="82"/>
      <c r="I47" s="82"/>
      <c r="J47" s="82"/>
      <c r="K47" s="82"/>
      <c r="L47" s="82"/>
      <c r="M47" s="82"/>
      <c r="N47" s="82"/>
      <c r="O47" s="3"/>
      <c r="P47" s="3"/>
      <c r="Q47" s="3"/>
      <c r="R47" s="3"/>
      <c r="S47" s="3"/>
      <c r="T47" s="3"/>
      <c r="U47" s="3"/>
      <c r="V47" s="3"/>
      <c r="W47" s="3"/>
      <c r="X47" s="3"/>
      <c r="Y47" s="3"/>
      <c r="Z47" s="3"/>
      <c r="AA47" s="3"/>
      <c r="AB47" s="3"/>
      <c r="AC47" s="3"/>
      <c r="AD47" s="3"/>
      <c r="AE47" s="3"/>
      <c r="AF47" s="3"/>
    </row>
    <row r="48" spans="1:32" hidden="1" x14ac:dyDescent="0.25">
      <c r="A48" s="87" t="s">
        <v>50</v>
      </c>
      <c r="B48" s="148"/>
      <c r="C48" s="149"/>
      <c r="D48" s="149"/>
      <c r="E48" s="149"/>
      <c r="F48" s="149"/>
      <c r="G48" s="149"/>
      <c r="H48" s="149"/>
      <c r="I48" s="150">
        <v>1</v>
      </c>
      <c r="J48" s="171">
        <f>1/0.534</f>
        <v>1.8726591760299625</v>
      </c>
      <c r="K48" s="150">
        <v>1</v>
      </c>
      <c r="L48" s="150">
        <v>1</v>
      </c>
      <c r="M48" s="149"/>
      <c r="N48" s="151"/>
      <c r="O48" s="3"/>
      <c r="P48" s="3"/>
      <c r="Q48" s="3"/>
      <c r="R48" s="3"/>
      <c r="S48" s="3"/>
      <c r="T48" s="3"/>
      <c r="U48" s="3"/>
      <c r="V48" s="3"/>
      <c r="W48" s="3"/>
      <c r="X48" s="3"/>
      <c r="Y48" s="3"/>
      <c r="Z48" s="3"/>
      <c r="AA48" s="3"/>
      <c r="AB48" s="3"/>
      <c r="AC48" s="3"/>
      <c r="AD48" s="3"/>
      <c r="AE48" s="3"/>
      <c r="AF48" s="3"/>
    </row>
    <row r="49" spans="1:32" hidden="1" x14ac:dyDescent="0.25">
      <c r="A49" s="88" t="s">
        <v>49</v>
      </c>
      <c r="B49" s="152"/>
      <c r="C49" s="153">
        <v>1</v>
      </c>
      <c r="D49" s="153">
        <v>1</v>
      </c>
      <c r="E49" s="153">
        <v>1</v>
      </c>
      <c r="F49" s="154">
        <f>F42/F44</f>
        <v>33.169960758857314</v>
      </c>
      <c r="G49" s="154">
        <f>G42/G44</f>
        <v>44.843526155030105</v>
      </c>
      <c r="H49" s="154">
        <f>H42/H44</f>
        <v>64.51765574425977</v>
      </c>
      <c r="I49" s="155">
        <f>I45/I44</f>
        <v>0.84</v>
      </c>
      <c r="J49" s="153">
        <v>1</v>
      </c>
      <c r="K49" s="155">
        <f>K45/K44</f>
        <v>0.93</v>
      </c>
      <c r="L49" s="155">
        <f>L45/L44</f>
        <v>0.95</v>
      </c>
      <c r="M49" s="155"/>
      <c r="N49" s="156"/>
      <c r="O49" s="3"/>
      <c r="P49" s="3"/>
      <c r="Q49" s="3"/>
      <c r="R49" s="3"/>
      <c r="S49" s="3"/>
      <c r="T49" s="3"/>
      <c r="U49" s="3"/>
      <c r="V49" s="3"/>
      <c r="W49" s="3"/>
      <c r="X49" s="3"/>
      <c r="Y49" s="3"/>
      <c r="Z49" s="3"/>
      <c r="AA49" s="3"/>
      <c r="AB49" s="3"/>
      <c r="AC49" s="3"/>
      <c r="AD49" s="3"/>
      <c r="AE49" s="3"/>
      <c r="AF49" s="3"/>
    </row>
    <row r="50" spans="1:32" hidden="1" x14ac:dyDescent="0.25">
      <c r="A50" s="88" t="s">
        <v>48</v>
      </c>
      <c r="B50" s="152">
        <v>1</v>
      </c>
      <c r="C50" s="154">
        <f t="shared" ref="C50:N50" si="7">C51*1000/GJ_MWh</f>
        <v>4.7222222222222223</v>
      </c>
      <c r="D50" s="154">
        <f t="shared" si="7"/>
        <v>1.6666666666666665</v>
      </c>
      <c r="E50" s="154">
        <f t="shared" si="7"/>
        <v>2.6750000000000003</v>
      </c>
      <c r="F50" s="154">
        <f t="shared" si="7"/>
        <v>277.77777777777777</v>
      </c>
      <c r="G50" s="154">
        <f t="shared" si="7"/>
        <v>277.77777777777777</v>
      </c>
      <c r="H50" s="154">
        <f t="shared" si="7"/>
        <v>277.77777777777777</v>
      </c>
      <c r="I50" s="154">
        <f t="shared" si="7"/>
        <v>10.679666666666668</v>
      </c>
      <c r="J50" s="154">
        <f t="shared" si="7"/>
        <v>13.891666666666666</v>
      </c>
      <c r="K50" s="154">
        <f t="shared" si="7"/>
        <v>11.29175</v>
      </c>
      <c r="L50" s="154">
        <f t="shared" si="7"/>
        <v>11.339305555555555</v>
      </c>
      <c r="M50" s="154">
        <f t="shared" si="7"/>
        <v>277.77777777777777</v>
      </c>
      <c r="N50" s="157">
        <f t="shared" si="7"/>
        <v>1</v>
      </c>
      <c r="O50" s="3"/>
      <c r="P50" s="3"/>
      <c r="Q50" s="3"/>
      <c r="R50" s="3"/>
      <c r="S50" s="3"/>
      <c r="T50" s="3"/>
      <c r="U50" s="3"/>
      <c r="V50" s="3"/>
      <c r="W50" s="3"/>
      <c r="X50" s="3"/>
      <c r="Y50" s="3"/>
      <c r="Z50" s="3"/>
      <c r="AA50" s="3"/>
      <c r="AB50" s="3"/>
      <c r="AC50" s="3"/>
      <c r="AD50" s="3"/>
      <c r="AE50" s="3"/>
      <c r="AF50" s="3"/>
    </row>
    <row r="51" spans="1:32" ht="15.75" hidden="1" thickBot="1" x14ac:dyDescent="0.3">
      <c r="A51" s="89" t="s">
        <v>51</v>
      </c>
      <c r="B51" s="158">
        <f t="shared" ref="B51" si="8">B40</f>
        <v>3.5999999999999999E-3</v>
      </c>
      <c r="C51" s="159">
        <f>C40</f>
        <v>1.7000000000000001E-2</v>
      </c>
      <c r="D51" s="159">
        <f>D40</f>
        <v>6.0000000000000001E-3</v>
      </c>
      <c r="E51" s="159">
        <f>E40</f>
        <v>9.6300000000000014E-3</v>
      </c>
      <c r="F51" s="160">
        <v>1</v>
      </c>
      <c r="G51" s="160">
        <v>1</v>
      </c>
      <c r="H51" s="160">
        <v>1</v>
      </c>
      <c r="I51" s="159">
        <f t="shared" ref="I51:N51" si="9">I40</f>
        <v>3.8446800000000003E-2</v>
      </c>
      <c r="J51" s="159">
        <f t="shared" si="9"/>
        <v>5.0009999999999999E-2</v>
      </c>
      <c r="K51" s="159">
        <f t="shared" si="9"/>
        <v>4.06503E-2</v>
      </c>
      <c r="L51" s="159">
        <f t="shared" si="9"/>
        <v>4.0821500000000004E-2</v>
      </c>
      <c r="M51" s="160">
        <f t="shared" si="9"/>
        <v>1</v>
      </c>
      <c r="N51" s="161">
        <f t="shared" si="9"/>
        <v>3.5999999999999999E-3</v>
      </c>
      <c r="O51" s="3"/>
      <c r="P51" s="3"/>
      <c r="Q51" s="3"/>
      <c r="R51" s="3"/>
      <c r="S51" s="3"/>
      <c r="T51" s="3"/>
      <c r="U51" s="3"/>
      <c r="V51" s="3"/>
      <c r="W51" s="3"/>
      <c r="X51" s="3"/>
      <c r="Y51" s="3"/>
      <c r="Z51" s="3"/>
      <c r="AA51" s="3"/>
      <c r="AB51" s="3"/>
      <c r="AC51" s="3"/>
      <c r="AD51" s="3"/>
      <c r="AE51" s="3"/>
      <c r="AF51" s="3"/>
    </row>
    <row r="52" spans="1:32" x14ac:dyDescent="0.25">
      <c r="A52" s="3"/>
      <c r="B52" s="23"/>
      <c r="C52" s="23"/>
      <c r="D52" s="23"/>
      <c r="E52" s="23"/>
      <c r="F52" s="23"/>
      <c r="G52" s="23"/>
      <c r="H52" s="23"/>
      <c r="I52" s="23"/>
      <c r="J52" s="23"/>
      <c r="K52" s="23"/>
      <c r="L52" s="23"/>
      <c r="M52" s="3"/>
      <c r="N52" s="3"/>
      <c r="O52" s="3"/>
      <c r="P52" s="3"/>
      <c r="Q52" s="3"/>
      <c r="R52" s="3"/>
      <c r="S52" s="3"/>
      <c r="T52" s="3"/>
      <c r="U52" s="3"/>
      <c r="V52" s="3"/>
      <c r="W52" s="3"/>
      <c r="X52" s="3"/>
      <c r="Y52" s="3"/>
      <c r="Z52" s="3"/>
      <c r="AA52" s="3"/>
      <c r="AB52" s="3"/>
      <c r="AC52" s="3"/>
      <c r="AD52" s="3"/>
      <c r="AE52" s="3"/>
      <c r="AF52" s="3"/>
    </row>
    <row r="53" spans="1:32" ht="18.75" x14ac:dyDescent="0.3">
      <c r="A53" s="50" t="s">
        <v>57</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3"/>
    </row>
    <row r="54" spans="1:32" ht="15.75" thickBot="1" x14ac:dyDescent="0.3">
      <c r="A54" s="3"/>
      <c r="B54" s="23"/>
      <c r="C54" s="23"/>
      <c r="D54" s="23"/>
      <c r="E54" s="23"/>
      <c r="F54" s="23"/>
      <c r="G54" s="23"/>
      <c r="H54" s="23"/>
      <c r="I54" s="23"/>
      <c r="J54" s="23"/>
      <c r="K54" s="23"/>
      <c r="L54" s="23"/>
      <c r="M54" s="3"/>
      <c r="N54" s="3"/>
      <c r="O54" s="3"/>
      <c r="P54" s="3"/>
      <c r="Q54" s="3"/>
      <c r="R54" s="3"/>
      <c r="S54" s="3"/>
      <c r="T54" s="3"/>
      <c r="U54" s="3"/>
      <c r="V54" s="3"/>
      <c r="W54" s="3"/>
      <c r="X54" s="3"/>
      <c r="Y54" s="3"/>
      <c r="Z54" s="3"/>
      <c r="AA54" s="3"/>
      <c r="AB54" s="3"/>
      <c r="AC54" s="3"/>
      <c r="AD54" s="3"/>
      <c r="AE54" s="3"/>
      <c r="AF54" s="3"/>
    </row>
    <row r="55" spans="1:32" x14ac:dyDescent="0.25">
      <c r="A55" s="72"/>
      <c r="B55" s="65" t="s">
        <v>58</v>
      </c>
      <c r="C55" s="66"/>
      <c r="D55" s="23"/>
      <c r="E55" s="23"/>
      <c r="F55" s="23"/>
      <c r="G55" s="23"/>
      <c r="H55" s="23"/>
      <c r="I55" s="23"/>
      <c r="J55" s="23"/>
      <c r="K55" s="23"/>
      <c r="L55" s="23"/>
      <c r="M55" s="23"/>
      <c r="N55" s="3"/>
      <c r="O55" s="3"/>
      <c r="P55" s="3"/>
      <c r="Q55" s="3"/>
      <c r="R55" s="3"/>
      <c r="S55" s="3"/>
      <c r="T55" s="3"/>
      <c r="U55" s="3"/>
      <c r="V55" s="3"/>
      <c r="W55" s="3"/>
      <c r="X55" s="3"/>
      <c r="Y55" s="3"/>
      <c r="Z55" s="3"/>
      <c r="AA55" s="3"/>
      <c r="AB55" s="3"/>
      <c r="AC55" s="3"/>
      <c r="AD55" s="3"/>
      <c r="AE55" s="3"/>
      <c r="AF55" s="3"/>
    </row>
    <row r="56" spans="1:32" ht="28.5" customHeight="1" thickBot="1" x14ac:dyDescent="0.3">
      <c r="A56" s="73" t="s">
        <v>59</v>
      </c>
      <c r="B56" s="70" t="s">
        <v>60</v>
      </c>
      <c r="C56" s="71" t="s">
        <v>61</v>
      </c>
      <c r="D56" s="23"/>
      <c r="E56" s="23"/>
      <c r="F56" s="23"/>
      <c r="G56" s="23"/>
      <c r="H56" s="23"/>
      <c r="I56" s="23"/>
      <c r="J56" s="23"/>
      <c r="K56" s="23"/>
      <c r="L56" s="23"/>
      <c r="M56" s="23"/>
      <c r="N56" s="3"/>
      <c r="O56" s="3"/>
      <c r="P56" s="3"/>
      <c r="Q56" s="3"/>
      <c r="R56" s="3"/>
      <c r="S56" s="3"/>
      <c r="T56" s="3"/>
      <c r="U56" s="3"/>
      <c r="V56" s="3"/>
      <c r="W56" s="3"/>
      <c r="X56" s="3"/>
      <c r="Y56" s="3"/>
      <c r="Z56" s="3"/>
      <c r="AA56" s="3"/>
      <c r="AB56" s="3"/>
      <c r="AC56" s="3"/>
      <c r="AD56" s="3"/>
      <c r="AE56" s="3"/>
      <c r="AF56" s="3"/>
    </row>
    <row r="57" spans="1:32" x14ac:dyDescent="0.25">
      <c r="A57" s="67" t="s">
        <v>264</v>
      </c>
      <c r="B57" s="74" t="str">
        <f>IF(Real_Nom="Nominal",IRR_Nom_incl_ETS_excl_GIDI,IRR_Real_incl_ETS_excl_GIDI)</f>
        <v>Incomplete data</v>
      </c>
      <c r="C57" s="75" t="str">
        <f>IFERROR(IF(Real_Nom="Nominal",PayB_Nom_incl_ETS_excl_GIDI,PayB_Real_incl_ETS_excl_GIDI),"Incomplete data")</f>
        <v>Incomplete data</v>
      </c>
      <c r="D57" s="23"/>
      <c r="E57" s="3"/>
      <c r="F57" s="42" t="s">
        <v>62</v>
      </c>
      <c r="G57" s="107" t="str">
        <f>IFERROR(SUMPRODUCT(Tot_Capex_Diff_TL:INDEX(Tot_Capex_Diff_Ar,Life+1),DiscF_TL:INDEX(DiscF_Ar,Life+1)),"Incomplete data")</f>
        <v>Incomplete data</v>
      </c>
      <c r="H57" s="23"/>
      <c r="I57" s="23"/>
      <c r="J57" s="23"/>
      <c r="K57" s="23"/>
      <c r="L57" s="23"/>
      <c r="M57" s="23"/>
      <c r="N57" s="3"/>
      <c r="O57" s="3"/>
      <c r="P57" s="3"/>
      <c r="Q57" s="3"/>
      <c r="R57" s="3"/>
      <c r="S57" s="3"/>
      <c r="T57" s="3"/>
      <c r="U57" s="3"/>
      <c r="V57" s="3"/>
      <c r="W57" s="3"/>
      <c r="X57" s="3"/>
      <c r="Y57" s="3"/>
      <c r="Z57" s="3"/>
      <c r="AA57" s="3"/>
      <c r="AB57" s="3"/>
      <c r="AC57" s="3"/>
      <c r="AD57" s="3"/>
      <c r="AE57" s="3"/>
      <c r="AF57" s="3"/>
    </row>
    <row r="58" spans="1:32" x14ac:dyDescent="0.25">
      <c r="A58" s="68" t="s">
        <v>263</v>
      </c>
      <c r="B58" s="76" t="str">
        <f>IF(Real_Nom="Nominal",IRR_Nom_incl_ETS_n_GIDI,IRR_Real_incl_ETS_n_GIDI)</f>
        <v>Incomplete data</v>
      </c>
      <c r="C58" s="77" t="str">
        <f>IFERROR(IF(Real_Nom="Nominal",PayB_Nom_incl_ETS_n_GIDI,PayB_Real_incl_ETS_n_GIDI),"Incomplete data")</f>
        <v>Incomplete data</v>
      </c>
      <c r="D58" s="23"/>
      <c r="E58" s="3"/>
      <c r="F58" s="42" t="s">
        <v>63</v>
      </c>
      <c r="G58" s="97" t="str">
        <f>IFERROR(GIDI_funding_PV/Tot_Capex,"Incomplete data")</f>
        <v>Incomplete data</v>
      </c>
      <c r="H58" s="23"/>
      <c r="I58" s="23"/>
      <c r="J58" s="23"/>
      <c r="K58" s="23"/>
      <c r="L58" s="23"/>
      <c r="M58" s="23"/>
      <c r="N58" s="3"/>
      <c r="O58" s="3"/>
      <c r="P58" s="3"/>
      <c r="Q58" s="3"/>
      <c r="R58" s="3"/>
      <c r="S58" s="3"/>
      <c r="T58" s="3"/>
      <c r="U58" s="3"/>
      <c r="V58" s="3"/>
      <c r="W58" s="3"/>
      <c r="X58" s="3"/>
      <c r="Y58" s="3"/>
      <c r="Z58" s="3"/>
      <c r="AA58" s="3"/>
      <c r="AB58" s="3"/>
      <c r="AC58" s="3"/>
      <c r="AD58" s="3"/>
      <c r="AE58" s="3"/>
      <c r="AF58" s="3"/>
    </row>
    <row r="59" spans="1:32" ht="15.75" thickBot="1" x14ac:dyDescent="0.3">
      <c r="A59" s="69" t="s">
        <v>64</v>
      </c>
      <c r="B59" s="78" t="str">
        <f>IF(Thresh_IRR&lt;&gt;"",Thresh_IRR,"na")</f>
        <v>na</v>
      </c>
      <c r="C59" s="79" t="str">
        <f>IF(Thresh_Payback&lt;&gt;"",Thresh_Payback,"na")</f>
        <v>na</v>
      </c>
      <c r="D59" s="23"/>
      <c r="E59" s="3"/>
      <c r="F59" s="3"/>
      <c r="G59" s="3"/>
      <c r="H59" s="23"/>
      <c r="I59" s="23"/>
      <c r="J59" s="23"/>
      <c r="K59" s="23"/>
      <c r="L59" s="23"/>
      <c r="M59" s="23"/>
      <c r="N59" s="3"/>
      <c r="O59" s="3"/>
      <c r="P59" s="3"/>
      <c r="Q59" s="3"/>
      <c r="R59" s="3"/>
      <c r="S59" s="3"/>
      <c r="T59" s="3"/>
      <c r="U59" s="3"/>
      <c r="V59" s="3"/>
      <c r="W59" s="3"/>
      <c r="X59" s="3"/>
      <c r="Y59" s="3"/>
      <c r="Z59" s="3"/>
      <c r="AA59" s="3"/>
      <c r="AB59" s="3"/>
      <c r="AC59" s="3"/>
      <c r="AD59" s="3"/>
      <c r="AE59" s="3"/>
      <c r="AF59" s="3"/>
    </row>
    <row r="60" spans="1:32" x14ac:dyDescent="0.25">
      <c r="A60" s="23"/>
      <c r="B60" s="23"/>
      <c r="C60" s="23"/>
      <c r="D60" s="23"/>
      <c r="E60" s="23"/>
      <c r="F60" s="23"/>
      <c r="G60" s="23"/>
      <c r="H60" s="23"/>
      <c r="I60" s="23"/>
      <c r="J60" s="23"/>
      <c r="K60" s="23"/>
      <c r="L60" s="23"/>
      <c r="M60" s="3"/>
      <c r="N60" s="3"/>
      <c r="O60" s="3"/>
      <c r="P60" s="3"/>
      <c r="Q60" s="3"/>
      <c r="R60" s="3"/>
      <c r="S60" s="3"/>
      <c r="T60" s="3"/>
      <c r="U60" s="3"/>
      <c r="V60" s="3"/>
      <c r="W60" s="3"/>
      <c r="X60" s="3"/>
      <c r="Y60" s="3"/>
      <c r="Z60" s="3"/>
      <c r="AA60" s="3"/>
      <c r="AB60" s="3"/>
      <c r="AC60" s="3"/>
      <c r="AD60" s="3"/>
      <c r="AE60" s="3"/>
      <c r="AF60" s="3"/>
    </row>
    <row r="61" spans="1:32" ht="34.35" customHeight="1" x14ac:dyDescent="0.25">
      <c r="A61" s="309" t="str">
        <f>IFERROR(IF(OR(AND(ISNUMBER(Thresh_IRR),ISNUMBER($B$57),$B$57&gt;Thresh_IRR),AND(ISNUMBER(Thresh_Payback),ISNUMBER($C$57),$C$57&lt;Thresh_Payback)),PleaseExplain1&amp;" "&amp;PleaseExplain3,
       IF(OR(AND(ISNUMBER(Thresh_IRR),ISNUMBER($B$58),$B$58&gt;Thresh_IRR*(1+TooMuch_Thresh)),AND(ISNUMBER(Thresh_Payback),ISNUMBER($C$58),$C$58&lt;Thresh_Payback*(1-TooMuch_Thresh))),PleaseExplain2&amp;" "&amp;PleaseExplain3,"")),"")</f>
        <v/>
      </c>
      <c r="B61" s="309"/>
      <c r="C61" s="309"/>
      <c r="D61" s="309"/>
      <c r="E61" s="309"/>
      <c r="F61" s="309"/>
      <c r="G61" s="23"/>
      <c r="H61" s="23"/>
      <c r="I61" s="23"/>
      <c r="J61" s="23"/>
      <c r="K61" s="23"/>
      <c r="L61" s="23"/>
      <c r="M61" s="3"/>
      <c r="N61" s="3"/>
      <c r="O61" s="3"/>
      <c r="P61" s="3"/>
      <c r="Q61" s="3"/>
      <c r="R61" s="3"/>
      <c r="S61" s="3"/>
      <c r="T61" s="3"/>
      <c r="U61" s="3"/>
      <c r="V61" s="3"/>
      <c r="W61" s="3"/>
      <c r="X61" s="3"/>
      <c r="Y61" s="3"/>
      <c r="Z61" s="3"/>
      <c r="AA61" s="3"/>
      <c r="AB61" s="3"/>
      <c r="AC61" s="3"/>
      <c r="AD61" s="3"/>
      <c r="AE61" s="3"/>
      <c r="AF61" s="3"/>
    </row>
    <row r="62" spans="1:32" ht="49.7" customHeight="1" x14ac:dyDescent="0.25">
      <c r="A62" s="309" t="str" cm="1">
        <f t="array" ref="A62">IFERROR(IF(PayB_Real_incl_ETS_n_GIDI&lt;Threshold_payback_GIDI,Unacceptable_message,
IF(ISNUMBER(IRR_Real_incl_ETS_n_GIDI),INDEX(OK_Returns_Result_Ar,
_xlfn.XMATCH(IRR_Real_incl_ETS_n_GIDI,
                 INDEX(OK_Returns_Top_Ar,_xlfn.XMATCH(Tot_Capex/1000,OK_Returns_Capex_Ar,-1)):INDEX(OK_Returns_Bottom_Ar,_xlfn.XMATCH(Tot_Capex/1000,OK_Returns_Capex_Ar,-1)),
                 -1)),"")),"")</f>
        <v/>
      </c>
      <c r="B62" s="309"/>
      <c r="C62" s="309"/>
      <c r="D62" s="309"/>
      <c r="E62" s="309"/>
      <c r="F62" s="309"/>
      <c r="G62" s="23"/>
      <c r="H62" s="23"/>
      <c r="I62" s="23"/>
      <c r="J62" s="23"/>
      <c r="K62" s="23"/>
      <c r="L62" s="23"/>
      <c r="M62" s="23"/>
      <c r="N62" s="23"/>
      <c r="O62" s="3"/>
      <c r="P62" s="3"/>
      <c r="Q62" s="3"/>
      <c r="R62" s="3"/>
      <c r="S62" s="3"/>
      <c r="T62" s="3"/>
      <c r="U62" s="3"/>
      <c r="V62" s="3"/>
      <c r="W62" s="3"/>
      <c r="X62" s="3"/>
      <c r="Y62" s="3"/>
      <c r="Z62" s="3"/>
      <c r="AA62" s="3"/>
      <c r="AB62" s="3"/>
      <c r="AC62" s="3"/>
      <c r="AD62" s="3"/>
      <c r="AE62" s="3"/>
      <c r="AF62" s="3"/>
    </row>
    <row r="63" spans="1:32" x14ac:dyDescent="0.25">
      <c r="A63" s="9"/>
      <c r="B63" s="3"/>
      <c r="C63" s="3"/>
      <c r="D63" s="23"/>
      <c r="E63" s="23"/>
      <c r="F63" s="23"/>
      <c r="G63" s="23"/>
      <c r="H63" s="23"/>
      <c r="I63" s="23"/>
      <c r="J63" s="23"/>
      <c r="K63" s="23"/>
      <c r="L63" s="23"/>
      <c r="M63" s="23"/>
      <c r="N63" s="23"/>
      <c r="O63" s="3"/>
      <c r="P63" s="3"/>
      <c r="Q63" s="3"/>
      <c r="R63" s="3"/>
      <c r="S63" s="3"/>
      <c r="T63" s="3"/>
      <c r="U63" s="3"/>
      <c r="V63" s="3"/>
      <c r="W63" s="3"/>
      <c r="X63" s="3"/>
      <c r="Y63" s="3"/>
      <c r="Z63" s="3"/>
      <c r="AA63" s="3"/>
      <c r="AB63" s="3"/>
      <c r="AC63" s="3"/>
      <c r="AD63" s="3"/>
      <c r="AE63" s="3"/>
      <c r="AF63" s="3"/>
    </row>
    <row r="64" spans="1:32" ht="19.5" customHeight="1" x14ac:dyDescent="0.25">
      <c r="A64" s="9" t="s">
        <v>306</v>
      </c>
      <c r="B64" s="236" t="s">
        <v>65</v>
      </c>
      <c r="C64" s="236" t="s">
        <v>329</v>
      </c>
      <c r="D64" s="237"/>
      <c r="E64" s="237" t="s">
        <v>303</v>
      </c>
      <c r="F64" s="237" t="s">
        <v>304</v>
      </c>
      <c r="G64" s="237" t="s">
        <v>305</v>
      </c>
      <c r="H64" s="237" t="s">
        <v>317</v>
      </c>
      <c r="I64" s="237" t="s">
        <v>318</v>
      </c>
      <c r="J64" s="237" t="s">
        <v>319</v>
      </c>
      <c r="K64" s="23"/>
      <c r="L64" s="23"/>
      <c r="M64" s="23"/>
      <c r="N64" s="23"/>
      <c r="O64" s="3"/>
      <c r="P64" s="3"/>
      <c r="Q64" s="3"/>
      <c r="R64" s="3"/>
      <c r="S64" s="3"/>
      <c r="T64" s="3"/>
      <c r="U64" s="3"/>
      <c r="V64" s="3"/>
      <c r="W64" s="3"/>
      <c r="X64" s="3"/>
      <c r="Y64" s="3"/>
      <c r="Z64" s="3"/>
      <c r="AA64" s="3"/>
      <c r="AB64" s="3"/>
      <c r="AC64" s="3"/>
      <c r="AD64" s="3"/>
      <c r="AE64" s="3"/>
      <c r="AF64" s="3"/>
    </row>
    <row r="65" spans="1:32" ht="15.75" customHeight="1" x14ac:dyDescent="0.25">
      <c r="A65" s="263" t="s">
        <v>292</v>
      </c>
      <c r="B65" s="264" t="str" cm="1">
        <f t="array" ref="B65">IFERROR(SUM(--(Emissions_Diff_TL:INDEX(Emissions_Diff_Ar,Life)&lt;&gt;0)), "Incomplete data")</f>
        <v>Incomplete data</v>
      </c>
      <c r="C65" s="7" t="str" cm="1">
        <f t="array" ref="C65">IFERROR(SUM(--(Emissions_Diff_TL:INDEX(Emissions_Diff_Ar,EB2_Off)&lt;&gt;0)),"Incomplete data")</f>
        <v>Incomplete data</v>
      </c>
      <c r="D65" s="265"/>
      <c r="E65" s="266" t="str" cm="1">
        <f t="array" ref="E65">IFERROR(SUMPRODUCT(Project_Life_Flag_Ar*BP1_Flag_Ar*(Emissions_Diff_Ar&lt;&gt;0)),"Incomplete data")</f>
        <v>Incomplete data</v>
      </c>
      <c r="F65" s="266" t="str" cm="1">
        <f t="array" ref="F65">IFERROR(SUMPRODUCT(Project_Life_Flag_Ar*BP2_Flag_Ar*(Emissions_Diff_Ar&lt;&gt;0)),"Incomplete data")</f>
        <v>Incomplete data</v>
      </c>
      <c r="G65" s="266" t="str" cm="1">
        <f t="array" ref="G65">IFERROR(SUMPRODUCT(Project_Life_Flag_Ar*BP3_Flag_Ar*(Emissions_Diff_Ar&lt;&gt;0)),"Incomplete data")</f>
        <v>Incomplete data</v>
      </c>
      <c r="H65" s="266" t="str" cm="1">
        <f t="array" ref="H65">IFERROR(SUMPRODUCT(Project_Life_Flag_Ar*BP4_Flag_Ar*(Emissions_Diff_Ar&lt;&gt;0)),"Incomplete data")</f>
        <v>Incomplete data</v>
      </c>
      <c r="I65" s="266" t="str" cm="1">
        <f t="array" ref="I65">IFERROR(SUMPRODUCT(Project_Life_Flag_Ar*BP5_Flag_Ar*(Emissions_Diff_Ar&lt;&gt;0)),"Incomplete data")</f>
        <v>Incomplete data</v>
      </c>
      <c r="J65" s="267" t="str" cm="1">
        <f t="array" ref="J65">IFERROR(SUMPRODUCT(Project_Life_Flag_Ar*BP6_Flag_Ar*(Emissions_Diff_Ar&lt;&gt;0)),"Incomplete data")</f>
        <v>Incomplete data</v>
      </c>
      <c r="K65" s="23"/>
      <c r="L65" s="23"/>
      <c r="M65" s="23"/>
      <c r="N65" s="23"/>
      <c r="O65" s="3"/>
      <c r="P65" s="3"/>
      <c r="Q65" s="3"/>
      <c r="R65" s="3"/>
      <c r="S65" s="3"/>
      <c r="T65" s="3"/>
      <c r="U65" s="3"/>
      <c r="V65" s="3"/>
      <c r="W65" s="3"/>
      <c r="X65" s="3"/>
      <c r="Y65" s="3"/>
      <c r="Z65" s="3"/>
      <c r="AA65" s="3"/>
      <c r="AB65" s="3"/>
      <c r="AC65" s="3"/>
      <c r="AD65" s="3"/>
      <c r="AE65" s="3"/>
      <c r="AF65" s="3"/>
    </row>
    <row r="66" spans="1:32" x14ac:dyDescent="0.25">
      <c r="A66" s="268" t="s">
        <v>293</v>
      </c>
      <c r="B66" s="203" t="str">
        <f>IFERROR(Emis_redn_undiscounted/B65,"Incomplete data")</f>
        <v>Incomplete data</v>
      </c>
      <c r="C66" s="203" t="str">
        <f>IFERROR(C67/C65,"Incomplete data")</f>
        <v>Incomplete data</v>
      </c>
      <c r="D66" s="82"/>
      <c r="E66" s="203" t="str">
        <f t="shared" ref="E66:J66" si="10">IF(E65=0,"",IFERROR(E67/E65,"Incomplete data"))</f>
        <v>Incomplete data</v>
      </c>
      <c r="F66" s="203" t="str">
        <f t="shared" si="10"/>
        <v>Incomplete data</v>
      </c>
      <c r="G66" s="203" t="str">
        <f t="shared" si="10"/>
        <v>Incomplete data</v>
      </c>
      <c r="H66" s="203" t="str">
        <f t="shared" si="10"/>
        <v>Incomplete data</v>
      </c>
      <c r="I66" s="203" t="str">
        <f t="shared" si="10"/>
        <v>Incomplete data</v>
      </c>
      <c r="J66" s="269" t="str">
        <f t="shared" si="10"/>
        <v>Incomplete data</v>
      </c>
      <c r="K66" s="23"/>
      <c r="L66" s="23"/>
      <c r="M66" s="3"/>
      <c r="N66" s="3"/>
      <c r="O66" s="3"/>
      <c r="P66" s="3"/>
      <c r="Q66" s="3"/>
      <c r="R66" s="3"/>
      <c r="S66" s="3"/>
      <c r="T66" s="3"/>
      <c r="U66" s="3"/>
      <c r="V66" s="3"/>
      <c r="W66" s="3"/>
      <c r="X66" s="3"/>
      <c r="Y66" s="3"/>
      <c r="Z66" s="3"/>
      <c r="AA66" s="3"/>
      <c r="AB66" s="3"/>
      <c r="AC66" s="3"/>
      <c r="AD66" s="3"/>
      <c r="AE66" s="3"/>
      <c r="AF66" s="3"/>
    </row>
    <row r="67" spans="1:32" x14ac:dyDescent="0.25">
      <c r="A67" s="270" t="s">
        <v>294</v>
      </c>
      <c r="B67" s="271" t="str">
        <f>IFERROR(-SUMPRODUCT(Emissions_Diff_Ar,Project_Life_Flag_Ar),"Incomplete data")</f>
        <v>Incomplete data</v>
      </c>
      <c r="C67" s="271" t="str">
        <f>IFERROR(-SUM(Emissions_Diff_TL:INDEX(Emissions_Diff_Ar,EB2_Off)),"Incomplete data")</f>
        <v>Incomplete data</v>
      </c>
      <c r="D67" s="272"/>
      <c r="E67" s="271" t="str" cm="1">
        <f t="array" ref="E67">IFERROR(-SUMPRODUCT(Project_Life_Flag_Ar*BP1_Flag_Ar*Emissions_Diff_Ar),"Incomplete data")</f>
        <v>Incomplete data</v>
      </c>
      <c r="F67" s="271" t="str" cm="1">
        <f t="array" ref="F67">IFERROR(-SUMPRODUCT(Project_Life_Flag_Ar*BP2_Flag_Ar*Emissions_Diff_Ar),"Incomplete data")</f>
        <v>Incomplete data</v>
      </c>
      <c r="G67" s="271" t="str" cm="1">
        <f t="array" ref="G67">IFERROR(-SUMPRODUCT(Project_Life_Flag_Ar*BP3_Flag_Ar*Emissions_Diff_Ar),"Incomplete data")</f>
        <v>Incomplete data</v>
      </c>
      <c r="H67" s="271" t="str" cm="1">
        <f t="array" ref="H67">IFERROR(-SUMPRODUCT(Project_Life_Flag_Ar*BP4_Flag_Ar*Emissions_Diff_Ar),"Incomplete data")</f>
        <v>Incomplete data</v>
      </c>
      <c r="I67" s="271" t="str" cm="1">
        <f t="array" ref="I67">IFERROR(-SUMPRODUCT(Project_Life_Flag_Ar*BP5_Flag_Ar*Emissions_Diff_Ar),"Incomplete data")</f>
        <v>Incomplete data</v>
      </c>
      <c r="J67" s="273" t="str" cm="1">
        <f t="array" ref="J67">IFERROR(-SUMPRODUCT(Project_Life_Flag_Ar*BP6_Flag_Ar*Emissions_Diff_Ar),"Incomplete data")</f>
        <v>Incomplete data</v>
      </c>
      <c r="K67" s="23"/>
      <c r="L67" s="23"/>
      <c r="M67" s="3"/>
      <c r="N67" s="3"/>
      <c r="O67" s="3"/>
      <c r="P67" s="3"/>
      <c r="Q67" s="3"/>
      <c r="R67" s="3"/>
      <c r="S67" s="3"/>
      <c r="T67" s="3"/>
      <c r="U67" s="3"/>
      <c r="V67" s="3"/>
      <c r="W67" s="3"/>
      <c r="X67" s="3"/>
      <c r="Y67" s="3"/>
      <c r="Z67" s="3"/>
      <c r="AA67" s="3"/>
      <c r="AB67" s="3"/>
      <c r="AC67" s="3"/>
      <c r="AD67" s="3"/>
      <c r="AE67" s="3"/>
      <c r="AF67" s="3"/>
    </row>
    <row r="68" spans="1:32" x14ac:dyDescent="0.25">
      <c r="A68" s="3"/>
      <c r="B68" s="22"/>
      <c r="C68" s="22"/>
      <c r="D68" s="23"/>
      <c r="E68" s="23"/>
      <c r="F68" s="23"/>
      <c r="G68" s="23"/>
      <c r="H68" s="23"/>
      <c r="I68" s="23"/>
      <c r="J68" s="23"/>
      <c r="K68" s="23"/>
      <c r="L68" s="23"/>
      <c r="M68" s="3"/>
      <c r="N68" s="3"/>
      <c r="O68" s="3"/>
      <c r="P68" s="3"/>
      <c r="Q68" s="3"/>
      <c r="R68" s="3"/>
      <c r="S68" s="3"/>
      <c r="T68" s="3"/>
      <c r="U68" s="3"/>
      <c r="V68" s="3"/>
      <c r="W68" s="3"/>
      <c r="X68" s="3"/>
      <c r="Y68" s="3"/>
      <c r="Z68" s="3"/>
      <c r="AA68" s="3"/>
      <c r="AB68" s="3"/>
      <c r="AC68" s="3"/>
      <c r="AD68" s="3"/>
      <c r="AE68" s="3"/>
      <c r="AF68" s="3"/>
    </row>
    <row r="69" spans="1:32" x14ac:dyDescent="0.25">
      <c r="A69" s="263" t="s">
        <v>67</v>
      </c>
      <c r="B69" s="266" t="str">
        <f>IFERROR(-SUMPRODUCT(Emissions_Diff_Ar,DiscF_Ar,Project_Life_Flag_Ar),"Incomplete data")</f>
        <v>Incomplete data</v>
      </c>
      <c r="C69" s="267" t="str" cm="1">
        <f t="array" ref="C69">IFERROR(-SUMPRODUCT(Emissions_Diff_Ar,DiscF_Ar,Project_Life_Flag_Ar,BP1_Flag_Ar+BP2_Flag_Ar),"Incomplete data")</f>
        <v>Incomplete data</v>
      </c>
      <c r="D69" s="23"/>
      <c r="E69" s="23"/>
      <c r="F69" s="23"/>
      <c r="G69" s="23"/>
      <c r="H69" s="23"/>
      <c r="I69" s="23"/>
      <c r="J69" s="23"/>
      <c r="K69" s="23"/>
      <c r="L69" s="23"/>
      <c r="M69" s="3"/>
      <c r="N69" s="3"/>
      <c r="O69" s="3"/>
      <c r="P69" s="3"/>
      <c r="Q69" s="3"/>
      <c r="R69" s="3"/>
      <c r="S69" s="3"/>
      <c r="T69" s="3"/>
      <c r="U69" s="3"/>
      <c r="V69" s="3"/>
      <c r="W69" s="3"/>
      <c r="X69" s="3"/>
      <c r="Y69" s="3"/>
      <c r="Z69" s="3"/>
      <c r="AA69" s="3"/>
      <c r="AB69" s="3"/>
      <c r="AC69" s="3"/>
      <c r="AD69" s="3"/>
      <c r="AE69" s="3"/>
      <c r="AF69" s="3"/>
    </row>
    <row r="70" spans="1:32" x14ac:dyDescent="0.25">
      <c r="A70" s="268" t="s">
        <v>68</v>
      </c>
      <c r="B70" s="203" t="str">
        <f>IFERROR(SUMPRODUCT(CashF_Real_excl_ETS_n_GIDI_Ar,DiscF_Ar,Project_Life_Flag_Ar),"Incomplete data")</f>
        <v>Incomplete data</v>
      </c>
      <c r="C70" s="269" t="str" cm="1">
        <f t="array" ref="C70">IFERROR(SUMPRODUCT(CashF_Real_excl_ETS_n_GIDI_Ar,DiscF_Ar,Project_Life_Flag_Ar,BP1_Flag_Ar+BP2_Flag_Ar),"Incomplete data")</f>
        <v>Incomplete data</v>
      </c>
      <c r="D70" s="23"/>
      <c r="E70" s="23"/>
      <c r="F70" s="23"/>
      <c r="G70" s="23"/>
      <c r="H70" s="23"/>
      <c r="I70" s="23"/>
      <c r="J70" s="23"/>
      <c r="K70" s="23"/>
      <c r="L70" s="23"/>
      <c r="M70" s="3"/>
      <c r="N70" s="3"/>
      <c r="O70" s="3"/>
      <c r="P70" s="3"/>
      <c r="Q70" s="3"/>
      <c r="R70" s="3"/>
      <c r="S70" s="3"/>
      <c r="T70" s="3"/>
      <c r="U70" s="3"/>
      <c r="V70" s="3"/>
      <c r="W70" s="3"/>
      <c r="X70" s="3"/>
      <c r="Y70" s="3"/>
      <c r="Z70" s="3"/>
      <c r="AA70" s="3"/>
      <c r="AB70" s="3"/>
      <c r="AC70" s="3"/>
      <c r="AD70" s="3"/>
      <c r="AE70" s="3"/>
      <c r="AF70" s="3"/>
    </row>
    <row r="71" spans="1:32" x14ac:dyDescent="0.25">
      <c r="A71" s="268" t="s">
        <v>69</v>
      </c>
      <c r="B71" s="82" t="str">
        <f>IFERROR(TotCost_Diff_PV/Emis_redn_discounted,"Incomplete data")</f>
        <v>Incomplete data</v>
      </c>
      <c r="C71" s="274" t="str">
        <f>IFERROR(TotCost_Diff_PV_EB2/Emis_redn_discounted_EB2,"Incomplete data")</f>
        <v>Incomplete data</v>
      </c>
      <c r="D71" s="23"/>
      <c r="E71" s="23"/>
      <c r="F71" s="23"/>
      <c r="G71" s="23"/>
      <c r="H71" s="23"/>
      <c r="I71" s="23"/>
      <c r="J71" s="23"/>
      <c r="K71" s="23"/>
      <c r="L71" s="23"/>
      <c r="M71" s="3"/>
      <c r="N71" s="3"/>
      <c r="O71" s="3"/>
      <c r="P71" s="3"/>
      <c r="Q71" s="3"/>
      <c r="R71" s="3"/>
      <c r="S71" s="3"/>
      <c r="T71" s="3"/>
      <c r="U71" s="3"/>
      <c r="V71" s="3"/>
      <c r="W71" s="3"/>
      <c r="X71" s="3"/>
      <c r="Y71" s="3"/>
      <c r="Z71" s="3"/>
      <c r="AA71" s="3"/>
      <c r="AB71" s="3"/>
      <c r="AC71" s="3"/>
      <c r="AD71" s="3"/>
      <c r="AE71" s="3"/>
      <c r="AF71" s="3"/>
    </row>
    <row r="72" spans="1:32" x14ac:dyDescent="0.25">
      <c r="A72" s="268" t="s">
        <v>70</v>
      </c>
      <c r="B72" s="82" t="str">
        <f>IFERROR(-SUMPRODUCT(Real_Shadow_prices_in_project_year_Ar,Emissions_Diff_Ar,DiscF_Ar,Project_Life_Flag_Ar)/Emis_redn_discounted,"Incomplete data")</f>
        <v>Incomplete data</v>
      </c>
      <c r="C72" s="274" t="str" cm="1">
        <f t="array" ref="C72">IFERROR(-SUMPRODUCT(Real_Shadow_prices_in_project_year_Ar,Emissions_Diff_Ar,DiscF_Ar,Project_Life_Flag_Ar,BP1_Flag_Ar+BP2_Flag_Ar)/Emis_redn_discounted_EB2,"Incomplete data")</f>
        <v>Incomplete data</v>
      </c>
      <c r="D72" s="23"/>
      <c r="E72" s="23"/>
      <c r="F72" s="23"/>
      <c r="G72" s="23"/>
      <c r="H72" s="23"/>
      <c r="I72" s="23"/>
      <c r="J72" s="23"/>
      <c r="K72" s="23"/>
      <c r="L72" s="23"/>
      <c r="M72" s="3"/>
      <c r="N72" s="23"/>
      <c r="O72" s="3"/>
      <c r="P72" s="3"/>
      <c r="Q72" s="3"/>
      <c r="R72" s="3"/>
      <c r="S72" s="3"/>
      <c r="T72" s="3"/>
      <c r="U72" s="3"/>
      <c r="V72" s="3"/>
      <c r="W72" s="3"/>
      <c r="X72" s="3"/>
      <c r="Y72" s="3"/>
      <c r="Z72" s="3"/>
      <c r="AA72" s="3"/>
      <c r="AB72" s="3"/>
      <c r="AC72" s="3"/>
      <c r="AD72" s="3"/>
      <c r="AE72" s="3"/>
      <c r="AF72" s="3"/>
    </row>
    <row r="73" spans="1:32" x14ac:dyDescent="0.25">
      <c r="A73" s="275" t="s">
        <v>71</v>
      </c>
      <c r="B73" s="272" t="str">
        <f>IFERROR(GIDI_funding_PV/Emis_redn_discounted,"Incomplete data")</f>
        <v>Incomplete data</v>
      </c>
      <c r="C73" s="276" t="str">
        <f>IFERROR(GIDI_funding_PV/Emis_redn_discounted_EB2,"Incomplete data")</f>
        <v>Incomplete data</v>
      </c>
      <c r="D73" s="23"/>
      <c r="E73" s="23"/>
      <c r="F73" s="23"/>
      <c r="G73" s="23"/>
      <c r="H73" s="23"/>
      <c r="I73" s="23"/>
      <c r="J73" s="23"/>
      <c r="K73" s="23"/>
      <c r="L73" s="23"/>
      <c r="M73" s="3"/>
      <c r="N73" s="3"/>
      <c r="O73" s="3"/>
      <c r="P73" s="3"/>
      <c r="Q73" s="3"/>
      <c r="R73" s="3"/>
      <c r="S73" s="3"/>
      <c r="T73" s="3"/>
      <c r="U73" s="3"/>
      <c r="V73" s="3"/>
      <c r="W73" s="3"/>
      <c r="X73" s="3"/>
      <c r="Y73" s="3"/>
      <c r="Z73" s="3"/>
      <c r="AA73" s="3"/>
      <c r="AB73" s="3"/>
      <c r="AC73" s="3"/>
      <c r="AD73" s="3"/>
      <c r="AE73" s="3"/>
      <c r="AF73" s="3"/>
    </row>
    <row r="74" spans="1:32" x14ac:dyDescent="0.25">
      <c r="A74" s="3"/>
      <c r="B74" s="3"/>
      <c r="C74" s="3"/>
      <c r="D74" s="23"/>
      <c r="E74" s="23"/>
      <c r="F74" s="23"/>
      <c r="G74" s="23"/>
      <c r="H74" s="23"/>
      <c r="I74" s="23"/>
      <c r="J74" s="23"/>
      <c r="K74" s="23"/>
      <c r="L74" s="23"/>
      <c r="M74" s="23"/>
      <c r="N74" s="3"/>
      <c r="O74" s="3"/>
      <c r="P74" s="3"/>
      <c r="Q74" s="3"/>
      <c r="R74" s="3"/>
      <c r="S74" s="3"/>
      <c r="T74" s="3"/>
      <c r="U74" s="3"/>
      <c r="V74" s="3"/>
      <c r="W74" s="3"/>
      <c r="X74" s="3"/>
      <c r="Y74" s="3"/>
      <c r="Z74" s="3"/>
      <c r="AA74" s="3"/>
      <c r="AB74" s="3"/>
      <c r="AC74" s="3"/>
      <c r="AD74" s="3"/>
      <c r="AE74" s="3"/>
      <c r="AF74" s="3"/>
    </row>
    <row r="75" spans="1:32" x14ac:dyDescent="0.25">
      <c r="A75" s="9" t="s">
        <v>72</v>
      </c>
      <c r="B75" s="238" t="s">
        <v>73</v>
      </c>
      <c r="C75" s="238" t="s">
        <v>330</v>
      </c>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2" x14ac:dyDescent="0.25">
      <c r="A76" s="263" t="s">
        <v>74</v>
      </c>
      <c r="B76" s="277" t="str">
        <f>Co_funding_pc</f>
        <v>Incomplete data</v>
      </c>
      <c r="C76" s="278">
        <f>IFERROR(MAX(0,MIN(10,AssCr_CoFund_a*Co_funding_pc*100+AssCr_CoFund_b)),0)</f>
        <v>0</v>
      </c>
      <c r="D76" s="2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2" x14ac:dyDescent="0.25">
      <c r="A77" s="268" t="s">
        <v>75</v>
      </c>
      <c r="B77" s="82" t="str">
        <f>IFERROR(PayB_incl_ETS_n_GIDI,"Incomplete data")</f>
        <v>Incomplete data</v>
      </c>
      <c r="C77" s="274">
        <f>IFERROR(IF(PayB_incl_ETS_n_GIDI&lt;=2,0,IF(1/PayB_incl_ETS_n_GIDI&lt;=1/8,10,AssCr_PayB_a*PayB_incl_ETS_n_GIDI^3+AssCr_PayB_b*PayB_incl_ETS_n_GIDI^2+AssCr_PayB_c*PayB_incl_ETS_n_GIDI+AssCr_PayB_d)),0)</f>
        <v>0</v>
      </c>
      <c r="D77" s="2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2" x14ac:dyDescent="0.25">
      <c r="A78" s="268" t="s">
        <v>76</v>
      </c>
      <c r="B78" s="82" t="str">
        <f>MAC_GIDI_EB2</f>
        <v>Incomplete data</v>
      </c>
      <c r="C78" s="274">
        <f>IFERROR(MAX(0,MIN(10,AssCr_GIDI_MAC_a*MAC_GIDI_EB2+AssCr_GIDI_MAC_b)),0)</f>
        <v>0</v>
      </c>
      <c r="D78" s="23">
        <f>IFERROR(MAX(0,MIN(10,AssCr_GIDI_MAC_a*MAC_GIDI+AssCr_GIDI_MAC_b)),0)</f>
        <v>0</v>
      </c>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2" x14ac:dyDescent="0.25">
      <c r="A79" s="268" t="s">
        <v>77</v>
      </c>
      <c r="B79" s="280" t="str">
        <f>_xlfn.CONCAT(Months_Submission_til_Commission," months")</f>
        <v>0 months</v>
      </c>
      <c r="C79" s="274">
        <f>IFERROR(Score_Speed,0)</f>
        <v>0</v>
      </c>
      <c r="D79" s="2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2" x14ac:dyDescent="0.25">
      <c r="A80" s="270" t="s">
        <v>78</v>
      </c>
      <c r="B80" s="279"/>
      <c r="C80" s="276">
        <f>SUM(C76:C79)/4</f>
        <v>0</v>
      </c>
      <c r="D80" s="2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x14ac:dyDescent="0.25"/>
    <row r="132" spans="1:31" x14ac:dyDescent="0.25"/>
    <row r="133" spans="1:31" x14ac:dyDescent="0.25"/>
    <row r="134" spans="1:31" x14ac:dyDescent="0.25"/>
    <row r="135" spans="1:31" x14ac:dyDescent="0.25"/>
    <row r="136" spans="1:31" x14ac:dyDescent="0.25"/>
    <row r="137" spans="1:31" x14ac:dyDescent="0.25"/>
    <row r="138" spans="1:31" x14ac:dyDescent="0.25"/>
    <row r="139" spans="1:31" x14ac:dyDescent="0.25"/>
    <row r="140" spans="1:31" x14ac:dyDescent="0.25"/>
    <row r="141" spans="1:31" x14ac:dyDescent="0.25"/>
    <row r="142" spans="1:31" x14ac:dyDescent="0.25"/>
    <row r="143" spans="1:31" x14ac:dyDescent="0.25"/>
    <row r="144" spans="1:31"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sheetData>
  <sheetProtection algorithmName="SHA-512" hashValue="ank4DXUd9CA+K3N5De5q9FVYQW/P1zkdnjZH+2jmYROE/xL28kaUDe7Itf81tMaOCcFG5lxrfkYuZxVtTD/kMQ==" saltValue="RCkLtxUz46KG/wytMgFITg==" spinCount="100000" sheet="1" objects="1" scenarios="1"/>
  <mergeCells count="2">
    <mergeCell ref="A61:F61"/>
    <mergeCell ref="A62:F62"/>
  </mergeCells>
  <phoneticPr fontId="36" type="noConversion"/>
  <dataValidations disablePrompts="1" count="6">
    <dataValidation type="list" allowBlank="1" showInputMessage="1" showErrorMessage="1" sqref="B5" xr:uid="{038B326B-BAAD-40EE-A0B5-85E1BE4353AD}">
      <formula1>Regions_Ar</formula1>
    </dataValidation>
    <dataValidation type="list" allowBlank="1" showInputMessage="1" showErrorMessage="1" sqref="B4" xr:uid="{9242B7FD-3670-439A-B372-87A462F65AE4}">
      <formula1>Sectors_Ar</formula1>
    </dataValidation>
    <dataValidation type="date" operator="greaterThanOrEqual" allowBlank="1" showInputMessage="1" showErrorMessage="1" errorTitle="Inconsistent dates" error="Expected commissioning date must be a date in format dd/mm/yy and cannot be before application date or the first year of project cashflows" sqref="B9" xr:uid="{D4091E13-981B-418D-81A0-7E3FC50ED4CA}">
      <formula1>MAX(DATE($B$8,1,1),$B$7)</formula1>
    </dataValidation>
    <dataValidation type="date" operator="lessThanOrEqual" allowBlank="1" showInputMessage="1" showErrorMessage="1" errorTitle="Inconsistent dates" error="Date of application submission must be in format dd/mm/yy and should not be in the future" sqref="B7" xr:uid="{C3050E98-60AD-4E0B-B8B3-8ED59B48CACD}">
      <formula1>TODAY()</formula1>
    </dataValidation>
    <dataValidation type="whole" operator="greaterThanOrEqual" allowBlank="1" showInputMessage="1" showErrorMessage="1" errorTitle="Inconsistent dates" error="First year of project cashflows must be in format yyyy and should not be before application submission" sqref="B8" xr:uid="{A3A61BCF-DA89-4460-9381-6D5AE536003E}">
      <formula1>YEAR($B$7)</formula1>
    </dataValidation>
    <dataValidation type="list" allowBlank="1" showInputMessage="1" showErrorMessage="1" errorTitle="Boolean response required" error="This question needs a TRUE / FALSE answer." sqref="B10:B12" xr:uid="{DC3DF434-4B57-4009-BC41-75509FF5238B}">
      <formula1>"TRUE,FALSE"</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F2C40F3-DCBE-4E1C-A36E-785805BD4734}">
          <x14:formula1>
            <xm:f>Data!$B$48:$B$50</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2C82-923D-4A91-9741-2EDDC86CADE6}">
  <sheetPr codeName="Sheet3"/>
  <dimension ref="A1:AO247"/>
  <sheetViews>
    <sheetView zoomScaleNormal="100" workbookViewId="0">
      <pane xSplit="6" ySplit="2" topLeftCell="G3" activePane="bottomRight" state="frozen"/>
      <selection activeCell="G220" sqref="G220"/>
      <selection pane="topRight" activeCell="G220" sqref="G220"/>
      <selection pane="bottomLeft" activeCell="G220" sqref="G220"/>
      <selection pane="bottomRight" activeCell="C45" sqref="C45"/>
    </sheetView>
  </sheetViews>
  <sheetFormatPr defaultColWidth="0" defaultRowHeight="15" zeroHeight="1" outlineLevelRow="2" x14ac:dyDescent="0.25"/>
  <cols>
    <col min="1" max="1" width="2" customWidth="1"/>
    <col min="2" max="2" width="8.85546875" customWidth="1"/>
    <col min="3" max="3" width="13.42578125" bestFit="1" customWidth="1"/>
    <col min="4" max="4" width="23" customWidth="1"/>
    <col min="5" max="5" width="20" bestFit="1" customWidth="1"/>
    <col min="6" max="6" width="8.5703125" bestFit="1" customWidth="1"/>
    <col min="7" max="37" width="10.5703125" customWidth="1"/>
    <col min="38" max="39" width="8.85546875" hidden="1" customWidth="1"/>
    <col min="40" max="40" width="0" hidden="1" customWidth="1"/>
    <col min="41" max="41" width="8.85546875" hidden="1" customWidth="1"/>
  </cols>
  <sheetData>
    <row r="1" spans="1:38" x14ac:dyDescent="0.25">
      <c r="A1" s="3"/>
      <c r="B1" s="3"/>
      <c r="C1" s="3"/>
      <c r="D1" s="3"/>
      <c r="E1" s="3" t="s">
        <v>79</v>
      </c>
      <c r="F1" s="3"/>
      <c r="G1" s="3" t="str">
        <f>IF(Start_Yr="","Enter start year!",Start_Yr)</f>
        <v>Enter start year!</v>
      </c>
      <c r="H1" s="3" t="str">
        <f>IF(ISNUMBER(G1),G1+1,G1)</f>
        <v>Enter start year!</v>
      </c>
      <c r="I1" s="3" t="str">
        <f t="shared" ref="I1:AK1" si="0">IF(ISNUMBER(H1),H1+1,H1)</f>
        <v>Enter start year!</v>
      </c>
      <c r="J1" s="3" t="str">
        <f t="shared" si="0"/>
        <v>Enter start year!</v>
      </c>
      <c r="K1" s="3" t="str">
        <f t="shared" si="0"/>
        <v>Enter start year!</v>
      </c>
      <c r="L1" s="3" t="str">
        <f t="shared" si="0"/>
        <v>Enter start year!</v>
      </c>
      <c r="M1" s="3" t="str">
        <f t="shared" si="0"/>
        <v>Enter start year!</v>
      </c>
      <c r="N1" s="3" t="str">
        <f t="shared" si="0"/>
        <v>Enter start year!</v>
      </c>
      <c r="O1" s="3" t="str">
        <f t="shared" si="0"/>
        <v>Enter start year!</v>
      </c>
      <c r="P1" s="3" t="str">
        <f t="shared" si="0"/>
        <v>Enter start year!</v>
      </c>
      <c r="Q1" s="3" t="str">
        <f t="shared" si="0"/>
        <v>Enter start year!</v>
      </c>
      <c r="R1" s="3" t="str">
        <f t="shared" si="0"/>
        <v>Enter start year!</v>
      </c>
      <c r="S1" s="3" t="str">
        <f t="shared" si="0"/>
        <v>Enter start year!</v>
      </c>
      <c r="T1" s="3" t="str">
        <f t="shared" si="0"/>
        <v>Enter start year!</v>
      </c>
      <c r="U1" s="3" t="str">
        <f t="shared" si="0"/>
        <v>Enter start year!</v>
      </c>
      <c r="V1" s="3" t="str">
        <f t="shared" si="0"/>
        <v>Enter start year!</v>
      </c>
      <c r="W1" s="3" t="str">
        <f t="shared" si="0"/>
        <v>Enter start year!</v>
      </c>
      <c r="X1" s="3" t="str">
        <f t="shared" si="0"/>
        <v>Enter start year!</v>
      </c>
      <c r="Y1" s="3" t="str">
        <f t="shared" si="0"/>
        <v>Enter start year!</v>
      </c>
      <c r="Z1" s="3" t="str">
        <f t="shared" si="0"/>
        <v>Enter start year!</v>
      </c>
      <c r="AA1" s="3" t="str">
        <f t="shared" si="0"/>
        <v>Enter start year!</v>
      </c>
      <c r="AB1" s="3" t="str">
        <f t="shared" si="0"/>
        <v>Enter start year!</v>
      </c>
      <c r="AC1" s="3" t="str">
        <f t="shared" si="0"/>
        <v>Enter start year!</v>
      </c>
      <c r="AD1" s="3" t="str">
        <f t="shared" si="0"/>
        <v>Enter start year!</v>
      </c>
      <c r="AE1" s="3" t="str">
        <f t="shared" si="0"/>
        <v>Enter start year!</v>
      </c>
      <c r="AF1" s="3" t="str">
        <f t="shared" si="0"/>
        <v>Enter start year!</v>
      </c>
      <c r="AG1" s="3" t="str">
        <f t="shared" si="0"/>
        <v>Enter start year!</v>
      </c>
      <c r="AH1" s="3" t="str">
        <f t="shared" si="0"/>
        <v>Enter start year!</v>
      </c>
      <c r="AI1" s="3" t="str">
        <f t="shared" si="0"/>
        <v>Enter start year!</v>
      </c>
      <c r="AJ1" s="3" t="str">
        <f t="shared" si="0"/>
        <v>Enter start year!</v>
      </c>
      <c r="AK1" s="3" t="str">
        <f t="shared" si="0"/>
        <v>Enter start year!</v>
      </c>
      <c r="AL1" s="3"/>
    </row>
    <row r="2" spans="1:38" x14ac:dyDescent="0.25">
      <c r="A2" s="3"/>
      <c r="B2" s="3"/>
      <c r="C2" s="3"/>
      <c r="D2" s="3"/>
      <c r="E2" s="3" t="s">
        <v>80</v>
      </c>
      <c r="F2" s="3"/>
      <c r="G2" s="3">
        <v>0</v>
      </c>
      <c r="H2" s="3">
        <v>1</v>
      </c>
      <c r="I2" s="3">
        <v>2</v>
      </c>
      <c r="J2" s="3">
        <v>3</v>
      </c>
      <c r="K2" s="3">
        <v>4</v>
      </c>
      <c r="L2" s="3">
        <v>5</v>
      </c>
      <c r="M2" s="3">
        <v>6</v>
      </c>
      <c r="N2" s="3">
        <v>7</v>
      </c>
      <c r="O2" s="3">
        <v>8</v>
      </c>
      <c r="P2" s="3">
        <v>9</v>
      </c>
      <c r="Q2" s="3">
        <v>10</v>
      </c>
      <c r="R2" s="3">
        <v>11</v>
      </c>
      <c r="S2" s="3">
        <v>12</v>
      </c>
      <c r="T2" s="3">
        <v>13</v>
      </c>
      <c r="U2" s="3">
        <v>14</v>
      </c>
      <c r="V2" s="3">
        <v>15</v>
      </c>
      <c r="W2" s="3">
        <v>16</v>
      </c>
      <c r="X2" s="3">
        <v>17</v>
      </c>
      <c r="Y2" s="3">
        <v>18</v>
      </c>
      <c r="Z2" s="3">
        <v>19</v>
      </c>
      <c r="AA2" s="3">
        <v>20</v>
      </c>
      <c r="AB2" s="3">
        <v>21</v>
      </c>
      <c r="AC2" s="3">
        <v>22</v>
      </c>
      <c r="AD2" s="3">
        <v>23</v>
      </c>
      <c r="AE2" s="3">
        <v>24</v>
      </c>
      <c r="AF2" s="3">
        <v>25</v>
      </c>
      <c r="AG2" s="3">
        <v>26</v>
      </c>
      <c r="AH2" s="3">
        <v>27</v>
      </c>
      <c r="AI2" s="3">
        <v>28</v>
      </c>
      <c r="AJ2" s="3">
        <v>29</v>
      </c>
      <c r="AK2" s="3">
        <v>30</v>
      </c>
      <c r="AL2" s="3"/>
    </row>
    <row r="3" spans="1:38" x14ac:dyDescent="0.25">
      <c r="A3" s="3"/>
      <c r="B3" s="3"/>
      <c r="C3" s="3"/>
      <c r="D3" s="3"/>
      <c r="E3" s="3" t="s">
        <v>268</v>
      </c>
      <c r="F3" s="3"/>
      <c r="G3" s="24">
        <f t="shared" ref="G3:AK3" si="1">1/(1+Disc_rate)^G$2</f>
        <v>1</v>
      </c>
      <c r="H3" s="24">
        <f t="shared" si="1"/>
        <v>0.95238095238095233</v>
      </c>
      <c r="I3" s="24">
        <f t="shared" si="1"/>
        <v>0.90702947845804982</v>
      </c>
      <c r="J3" s="24">
        <f t="shared" si="1"/>
        <v>0.86383759853147601</v>
      </c>
      <c r="K3" s="24">
        <f t="shared" si="1"/>
        <v>0.82270247479188197</v>
      </c>
      <c r="L3" s="24">
        <f t="shared" si="1"/>
        <v>0.78352616646845896</v>
      </c>
      <c r="M3" s="24">
        <f t="shared" si="1"/>
        <v>0.74621539663662761</v>
      </c>
      <c r="N3" s="24">
        <f t="shared" si="1"/>
        <v>0.71068133013012147</v>
      </c>
      <c r="O3" s="24">
        <f t="shared" si="1"/>
        <v>0.67683936202868722</v>
      </c>
      <c r="P3" s="24">
        <f t="shared" si="1"/>
        <v>0.64460891621779726</v>
      </c>
      <c r="Q3" s="24">
        <f t="shared" si="1"/>
        <v>0.61391325354075932</v>
      </c>
      <c r="R3" s="24">
        <f t="shared" si="1"/>
        <v>0.5846792890864374</v>
      </c>
      <c r="S3" s="24">
        <f t="shared" si="1"/>
        <v>0.5568374181775595</v>
      </c>
      <c r="T3" s="24">
        <f t="shared" si="1"/>
        <v>0.53032135064529462</v>
      </c>
      <c r="U3" s="24">
        <f t="shared" si="1"/>
        <v>0.50506795299551888</v>
      </c>
      <c r="V3" s="24">
        <f t="shared" si="1"/>
        <v>0.48101709809097021</v>
      </c>
      <c r="W3" s="24">
        <f t="shared" si="1"/>
        <v>0.45811152199140021</v>
      </c>
      <c r="X3" s="24">
        <f t="shared" si="1"/>
        <v>0.43629668761085727</v>
      </c>
      <c r="Y3" s="24">
        <f t="shared" si="1"/>
        <v>0.41552065486748313</v>
      </c>
      <c r="Z3" s="24">
        <f t="shared" si="1"/>
        <v>0.39573395701665059</v>
      </c>
      <c r="AA3" s="24">
        <f t="shared" si="1"/>
        <v>0.37688948287300061</v>
      </c>
      <c r="AB3" s="24">
        <f t="shared" si="1"/>
        <v>0.35894236464095297</v>
      </c>
      <c r="AC3" s="24">
        <f t="shared" si="1"/>
        <v>0.3418498710866219</v>
      </c>
      <c r="AD3" s="24">
        <f t="shared" si="1"/>
        <v>0.32557130579678267</v>
      </c>
      <c r="AE3" s="24">
        <f t="shared" si="1"/>
        <v>0.31006791028265024</v>
      </c>
      <c r="AF3" s="24">
        <f t="shared" si="1"/>
        <v>0.29530277169776209</v>
      </c>
      <c r="AG3" s="24">
        <f t="shared" si="1"/>
        <v>0.28124073495024959</v>
      </c>
      <c r="AH3" s="24">
        <f t="shared" si="1"/>
        <v>0.2678483190002377</v>
      </c>
      <c r="AI3" s="24">
        <f t="shared" si="1"/>
        <v>0.25509363714308358</v>
      </c>
      <c r="AJ3" s="24">
        <f t="shared" si="1"/>
        <v>0.24294632108865097</v>
      </c>
      <c r="AK3" s="24">
        <f t="shared" si="1"/>
        <v>0.23137744865585813</v>
      </c>
      <c r="AL3" s="3"/>
    </row>
    <row r="4" spans="1:38"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8.75" x14ac:dyDescent="0.3">
      <c r="A5" s="3"/>
      <c r="B5" s="15"/>
      <c r="C5" s="3"/>
      <c r="D5" s="8" t="s">
        <v>81</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x14ac:dyDescent="0.25">
      <c r="A6" s="3"/>
      <c r="B6" s="15"/>
      <c r="C6" s="3"/>
      <c r="D6" s="12" t="s">
        <v>82</v>
      </c>
      <c r="E6" s="10" t="s">
        <v>83</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x14ac:dyDescent="0.25">
      <c r="A7" s="3"/>
      <c r="B7" s="283" t="str">
        <f>IF(AND(COUNTIF($G7:$AK7,"&lt;&gt;"&amp;"")&gt;0, ISBLANK($D7)),"Label missing","")</f>
        <v/>
      </c>
      <c r="C7" s="3"/>
      <c r="D7" s="54"/>
      <c r="E7" s="55"/>
      <c r="F7" s="3"/>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3"/>
    </row>
    <row r="8" spans="1:38" x14ac:dyDescent="0.25">
      <c r="A8" s="3"/>
      <c r="B8" s="283" t="str">
        <f t="shared" ref="B8:B14" si="2">IF(AND(COUNTIF($G8:$AK8,"&lt;&gt;"&amp;"")&gt;0, ISBLANK($D8)),"Label missing","")</f>
        <v/>
      </c>
      <c r="C8" s="3"/>
      <c r="D8" s="54"/>
      <c r="E8" s="55"/>
      <c r="F8" s="3"/>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3"/>
    </row>
    <row r="9" spans="1:38" x14ac:dyDescent="0.25">
      <c r="A9" s="3"/>
      <c r="B9" s="283" t="str">
        <f t="shared" si="2"/>
        <v/>
      </c>
      <c r="C9" s="3"/>
      <c r="D9" s="54"/>
      <c r="E9" s="55"/>
      <c r="F9" s="3"/>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3"/>
    </row>
    <row r="10" spans="1:38" x14ac:dyDescent="0.25">
      <c r="A10" s="3"/>
      <c r="B10" s="283" t="str">
        <f t="shared" si="2"/>
        <v/>
      </c>
      <c r="C10" s="3"/>
      <c r="D10" s="54"/>
      <c r="E10" s="55"/>
      <c r="F10" s="3"/>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3"/>
    </row>
    <row r="11" spans="1:38" x14ac:dyDescent="0.25">
      <c r="A11" s="3"/>
      <c r="B11" s="283" t="str">
        <f t="shared" si="2"/>
        <v/>
      </c>
      <c r="C11" s="3"/>
      <c r="D11" s="54"/>
      <c r="E11" s="55"/>
      <c r="F11" s="3"/>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3"/>
    </row>
    <row r="12" spans="1:38" x14ac:dyDescent="0.25">
      <c r="A12" s="3"/>
      <c r="B12" s="283" t="str">
        <f t="shared" si="2"/>
        <v/>
      </c>
      <c r="C12" s="3"/>
      <c r="D12" s="54"/>
      <c r="E12" s="55"/>
      <c r="F12" s="3"/>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3"/>
    </row>
    <row r="13" spans="1:38" x14ac:dyDescent="0.25">
      <c r="A13" s="3"/>
      <c r="B13" s="283" t="str">
        <f t="shared" si="2"/>
        <v/>
      </c>
      <c r="C13" s="3"/>
      <c r="D13" s="54"/>
      <c r="E13" s="55"/>
      <c r="F13" s="3"/>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3"/>
    </row>
    <row r="14" spans="1:38" x14ac:dyDescent="0.25">
      <c r="A14" s="3"/>
      <c r="B14" s="283" t="str">
        <f t="shared" si="2"/>
        <v/>
      </c>
      <c r="C14" s="3"/>
      <c r="D14" s="54"/>
      <c r="E14" s="55"/>
      <c r="F14" s="3"/>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3"/>
    </row>
    <row r="15" spans="1:38" x14ac:dyDescent="0.25">
      <c r="A15" s="3"/>
      <c r="B15" s="15"/>
      <c r="C15" s="3"/>
      <c r="D15" s="11" t="s">
        <v>84</v>
      </c>
      <c r="E15" s="7"/>
      <c r="F15" s="7"/>
      <c r="G15" s="30">
        <f t="shared" ref="G15:AK15" si="3">SUM(G7:G14)</f>
        <v>0</v>
      </c>
      <c r="H15" s="30">
        <f t="shared" si="3"/>
        <v>0</v>
      </c>
      <c r="I15" s="30">
        <f t="shared" si="3"/>
        <v>0</v>
      </c>
      <c r="J15" s="30">
        <f t="shared" si="3"/>
        <v>0</v>
      </c>
      <c r="K15" s="30">
        <f t="shared" si="3"/>
        <v>0</v>
      </c>
      <c r="L15" s="30">
        <f t="shared" si="3"/>
        <v>0</v>
      </c>
      <c r="M15" s="30">
        <f t="shared" si="3"/>
        <v>0</v>
      </c>
      <c r="N15" s="30">
        <f t="shared" si="3"/>
        <v>0</v>
      </c>
      <c r="O15" s="30">
        <f t="shared" si="3"/>
        <v>0</v>
      </c>
      <c r="P15" s="30">
        <f t="shared" si="3"/>
        <v>0</v>
      </c>
      <c r="Q15" s="30">
        <f t="shared" si="3"/>
        <v>0</v>
      </c>
      <c r="R15" s="30">
        <f t="shared" si="3"/>
        <v>0</v>
      </c>
      <c r="S15" s="30">
        <f t="shared" si="3"/>
        <v>0</v>
      </c>
      <c r="T15" s="30">
        <f t="shared" si="3"/>
        <v>0</v>
      </c>
      <c r="U15" s="30">
        <f t="shared" si="3"/>
        <v>0</v>
      </c>
      <c r="V15" s="30">
        <f t="shared" si="3"/>
        <v>0</v>
      </c>
      <c r="W15" s="30">
        <f t="shared" si="3"/>
        <v>0</v>
      </c>
      <c r="X15" s="30">
        <f t="shared" si="3"/>
        <v>0</v>
      </c>
      <c r="Y15" s="30">
        <f t="shared" si="3"/>
        <v>0</v>
      </c>
      <c r="Z15" s="30">
        <f t="shared" si="3"/>
        <v>0</v>
      </c>
      <c r="AA15" s="30">
        <f t="shared" si="3"/>
        <v>0</v>
      </c>
      <c r="AB15" s="30">
        <f t="shared" si="3"/>
        <v>0</v>
      </c>
      <c r="AC15" s="30">
        <f t="shared" si="3"/>
        <v>0</v>
      </c>
      <c r="AD15" s="30">
        <f t="shared" si="3"/>
        <v>0</v>
      </c>
      <c r="AE15" s="30">
        <f t="shared" si="3"/>
        <v>0</v>
      </c>
      <c r="AF15" s="30">
        <f t="shared" si="3"/>
        <v>0</v>
      </c>
      <c r="AG15" s="30">
        <f t="shared" si="3"/>
        <v>0</v>
      </c>
      <c r="AH15" s="30">
        <f t="shared" si="3"/>
        <v>0</v>
      </c>
      <c r="AI15" s="30">
        <f t="shared" si="3"/>
        <v>0</v>
      </c>
      <c r="AJ15" s="30">
        <f t="shared" si="3"/>
        <v>0</v>
      </c>
      <c r="AK15" s="30">
        <f t="shared" si="3"/>
        <v>0</v>
      </c>
      <c r="AL15" s="3"/>
    </row>
    <row r="16" spans="1:38" x14ac:dyDescent="0.25">
      <c r="A16" s="3"/>
      <c r="B16" s="15"/>
      <c r="C16" s="3"/>
      <c r="D16" s="3"/>
      <c r="E16" s="3"/>
      <c r="F16" s="3"/>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
    </row>
    <row r="17" spans="1:38" x14ac:dyDescent="0.25">
      <c r="A17" s="3"/>
      <c r="B17" s="15"/>
      <c r="C17" s="3"/>
      <c r="D17" s="13" t="s">
        <v>85</v>
      </c>
      <c r="E17" s="6" t="s">
        <v>83</v>
      </c>
      <c r="F17" s="3"/>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
    </row>
    <row r="18" spans="1:38" x14ac:dyDescent="0.25">
      <c r="A18" s="3"/>
      <c r="B18" s="283" t="str">
        <f>IF(AND(COUNTIF($G18:$AK18,"&lt;&gt;"&amp;"")&gt;0, ISBLANK($D18)),"Label missing","")</f>
        <v/>
      </c>
      <c r="C18" s="3"/>
      <c r="D18" s="57"/>
      <c r="E18" s="57"/>
      <c r="F18" s="6"/>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3"/>
    </row>
    <row r="19" spans="1:38" x14ac:dyDescent="0.25">
      <c r="A19" s="3"/>
      <c r="B19" s="283" t="str">
        <f t="shared" ref="B19:B25" si="4">IF(AND(COUNTIF($G19:$AK19,"&lt;&gt;"&amp;"")&gt;0, ISBLANK($D19)),"Label missing","")</f>
        <v/>
      </c>
      <c r="C19" s="3"/>
      <c r="D19" s="57"/>
      <c r="E19" s="57"/>
      <c r="F19" s="6"/>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3"/>
    </row>
    <row r="20" spans="1:38" x14ac:dyDescent="0.25">
      <c r="A20" s="3"/>
      <c r="B20" s="283" t="str">
        <f t="shared" si="4"/>
        <v/>
      </c>
      <c r="C20" s="3"/>
      <c r="D20" s="57"/>
      <c r="E20" s="57"/>
      <c r="F20" s="6"/>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3"/>
    </row>
    <row r="21" spans="1:38" x14ac:dyDescent="0.25">
      <c r="A21" s="3"/>
      <c r="B21" s="283" t="str">
        <f t="shared" si="4"/>
        <v/>
      </c>
      <c r="C21" s="3"/>
      <c r="D21" s="57"/>
      <c r="E21" s="57"/>
      <c r="F21" s="6"/>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3"/>
    </row>
    <row r="22" spans="1:38" x14ac:dyDescent="0.25">
      <c r="A22" s="3"/>
      <c r="B22" s="283" t="str">
        <f t="shared" si="4"/>
        <v/>
      </c>
      <c r="C22" s="3"/>
      <c r="D22" s="57"/>
      <c r="E22" s="57"/>
      <c r="F22" s="6"/>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3"/>
    </row>
    <row r="23" spans="1:38" x14ac:dyDescent="0.25">
      <c r="A23" s="3"/>
      <c r="B23" s="283" t="str">
        <f t="shared" si="4"/>
        <v/>
      </c>
      <c r="C23" s="3"/>
      <c r="D23" s="57"/>
      <c r="E23" s="57"/>
      <c r="F23" s="6"/>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3"/>
    </row>
    <row r="24" spans="1:38" x14ac:dyDescent="0.25">
      <c r="A24" s="3"/>
      <c r="B24" s="283" t="str">
        <f t="shared" si="4"/>
        <v/>
      </c>
      <c r="C24" s="3"/>
      <c r="D24" s="57"/>
      <c r="E24" s="57"/>
      <c r="F24" s="6"/>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3"/>
    </row>
    <row r="25" spans="1:38" x14ac:dyDescent="0.25">
      <c r="A25" s="3"/>
      <c r="B25" s="283" t="str">
        <f t="shared" si="4"/>
        <v/>
      </c>
      <c r="C25" s="3"/>
      <c r="D25" s="57"/>
      <c r="E25" s="57"/>
      <c r="F25" s="6"/>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3"/>
    </row>
    <row r="26" spans="1:38" x14ac:dyDescent="0.25">
      <c r="A26" s="3"/>
      <c r="B26" s="15"/>
      <c r="C26" s="3"/>
      <c r="D26" s="14" t="s">
        <v>86</v>
      </c>
      <c r="E26" s="14"/>
      <c r="F26" s="14"/>
      <c r="G26" s="32">
        <f t="shared" ref="G26:AK26" si="5">SUM(G18:G25)</f>
        <v>0</v>
      </c>
      <c r="H26" s="32">
        <f t="shared" si="5"/>
        <v>0</v>
      </c>
      <c r="I26" s="32">
        <f t="shared" si="5"/>
        <v>0</v>
      </c>
      <c r="J26" s="32">
        <f t="shared" si="5"/>
        <v>0</v>
      </c>
      <c r="K26" s="32">
        <f t="shared" si="5"/>
        <v>0</v>
      </c>
      <c r="L26" s="32">
        <f t="shared" si="5"/>
        <v>0</v>
      </c>
      <c r="M26" s="32">
        <f t="shared" si="5"/>
        <v>0</v>
      </c>
      <c r="N26" s="32">
        <f t="shared" si="5"/>
        <v>0</v>
      </c>
      <c r="O26" s="32">
        <f t="shared" si="5"/>
        <v>0</v>
      </c>
      <c r="P26" s="32">
        <f t="shared" si="5"/>
        <v>0</v>
      </c>
      <c r="Q26" s="32">
        <f t="shared" si="5"/>
        <v>0</v>
      </c>
      <c r="R26" s="32">
        <f t="shared" si="5"/>
        <v>0</v>
      </c>
      <c r="S26" s="32">
        <f t="shared" si="5"/>
        <v>0</v>
      </c>
      <c r="T26" s="32">
        <f t="shared" si="5"/>
        <v>0</v>
      </c>
      <c r="U26" s="32">
        <f t="shared" si="5"/>
        <v>0</v>
      </c>
      <c r="V26" s="32">
        <f t="shared" si="5"/>
        <v>0</v>
      </c>
      <c r="W26" s="32">
        <f t="shared" si="5"/>
        <v>0</v>
      </c>
      <c r="X26" s="32">
        <f t="shared" si="5"/>
        <v>0</v>
      </c>
      <c r="Y26" s="32">
        <f t="shared" si="5"/>
        <v>0</v>
      </c>
      <c r="Z26" s="32">
        <f t="shared" si="5"/>
        <v>0</v>
      </c>
      <c r="AA26" s="32">
        <f t="shared" si="5"/>
        <v>0</v>
      </c>
      <c r="AB26" s="32">
        <f t="shared" si="5"/>
        <v>0</v>
      </c>
      <c r="AC26" s="32">
        <f t="shared" si="5"/>
        <v>0</v>
      </c>
      <c r="AD26" s="32">
        <f t="shared" si="5"/>
        <v>0</v>
      </c>
      <c r="AE26" s="32">
        <f t="shared" si="5"/>
        <v>0</v>
      </c>
      <c r="AF26" s="32">
        <f t="shared" si="5"/>
        <v>0</v>
      </c>
      <c r="AG26" s="32">
        <f t="shared" si="5"/>
        <v>0</v>
      </c>
      <c r="AH26" s="32">
        <f t="shared" si="5"/>
        <v>0</v>
      </c>
      <c r="AI26" s="32">
        <f t="shared" si="5"/>
        <v>0</v>
      </c>
      <c r="AJ26" s="32">
        <f t="shared" si="5"/>
        <v>0</v>
      </c>
      <c r="AK26" s="32">
        <f t="shared" si="5"/>
        <v>0</v>
      </c>
      <c r="AL26" s="3"/>
    </row>
    <row r="27" spans="1:38" x14ac:dyDescent="0.25">
      <c r="A27" s="3"/>
      <c r="B27" s="15"/>
      <c r="C27" s="3"/>
      <c r="D27" s="3"/>
      <c r="E27" s="3"/>
      <c r="F27" s="3"/>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
    </row>
    <row r="28" spans="1:38" x14ac:dyDescent="0.25">
      <c r="A28" s="3"/>
      <c r="B28" s="15"/>
      <c r="C28" s="3"/>
      <c r="D28" s="3" t="s">
        <v>87</v>
      </c>
      <c r="E28" s="3"/>
      <c r="F28" s="3"/>
      <c r="G28" s="31">
        <f>G15-G26</f>
        <v>0</v>
      </c>
      <c r="H28" s="31">
        <f t="shared" ref="H28:AK28" si="6">H15-H26</f>
        <v>0</v>
      </c>
      <c r="I28" s="31">
        <f t="shared" si="6"/>
        <v>0</v>
      </c>
      <c r="J28" s="31">
        <f t="shared" si="6"/>
        <v>0</v>
      </c>
      <c r="K28" s="31">
        <f t="shared" si="6"/>
        <v>0</v>
      </c>
      <c r="L28" s="31">
        <f t="shared" si="6"/>
        <v>0</v>
      </c>
      <c r="M28" s="31">
        <f t="shared" si="6"/>
        <v>0</v>
      </c>
      <c r="N28" s="31">
        <f t="shared" si="6"/>
        <v>0</v>
      </c>
      <c r="O28" s="31">
        <f t="shared" si="6"/>
        <v>0</v>
      </c>
      <c r="P28" s="31">
        <f t="shared" si="6"/>
        <v>0</v>
      </c>
      <c r="Q28" s="31">
        <f t="shared" si="6"/>
        <v>0</v>
      </c>
      <c r="R28" s="31">
        <f t="shared" si="6"/>
        <v>0</v>
      </c>
      <c r="S28" s="31">
        <f t="shared" si="6"/>
        <v>0</v>
      </c>
      <c r="T28" s="31">
        <f t="shared" si="6"/>
        <v>0</v>
      </c>
      <c r="U28" s="31">
        <f t="shared" si="6"/>
        <v>0</v>
      </c>
      <c r="V28" s="31">
        <f t="shared" si="6"/>
        <v>0</v>
      </c>
      <c r="W28" s="31">
        <f t="shared" si="6"/>
        <v>0</v>
      </c>
      <c r="X28" s="31">
        <f t="shared" si="6"/>
        <v>0</v>
      </c>
      <c r="Y28" s="31">
        <f t="shared" si="6"/>
        <v>0</v>
      </c>
      <c r="Z28" s="31">
        <f t="shared" si="6"/>
        <v>0</v>
      </c>
      <c r="AA28" s="31">
        <f t="shared" si="6"/>
        <v>0</v>
      </c>
      <c r="AB28" s="31">
        <f t="shared" si="6"/>
        <v>0</v>
      </c>
      <c r="AC28" s="31">
        <f t="shared" si="6"/>
        <v>0</v>
      </c>
      <c r="AD28" s="31">
        <f t="shared" si="6"/>
        <v>0</v>
      </c>
      <c r="AE28" s="31">
        <f t="shared" si="6"/>
        <v>0</v>
      </c>
      <c r="AF28" s="31">
        <f t="shared" si="6"/>
        <v>0</v>
      </c>
      <c r="AG28" s="31">
        <f t="shared" si="6"/>
        <v>0</v>
      </c>
      <c r="AH28" s="31">
        <f t="shared" si="6"/>
        <v>0</v>
      </c>
      <c r="AI28" s="31">
        <f t="shared" si="6"/>
        <v>0</v>
      </c>
      <c r="AJ28" s="31">
        <f t="shared" si="6"/>
        <v>0</v>
      </c>
      <c r="AK28" s="31">
        <f t="shared" si="6"/>
        <v>0</v>
      </c>
      <c r="AL28" s="3"/>
    </row>
    <row r="29" spans="1:38" x14ac:dyDescent="0.25">
      <c r="A29" s="3"/>
      <c r="B29" s="15"/>
      <c r="C29" s="3"/>
      <c r="D29" s="3"/>
      <c r="E29" s="3"/>
      <c r="F29" s="3"/>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
    </row>
    <row r="30" spans="1:38" ht="18.75" x14ac:dyDescent="0.3">
      <c r="A30" s="3"/>
      <c r="B30" s="15"/>
      <c r="C30" s="3"/>
      <c r="D30" s="8" t="s">
        <v>88</v>
      </c>
      <c r="E30" s="3"/>
      <c r="F30" s="3"/>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
    </row>
    <row r="31" spans="1:38" x14ac:dyDescent="0.25">
      <c r="A31" s="3"/>
      <c r="B31" s="15"/>
      <c r="C31" s="3"/>
      <c r="D31" s="9" t="s">
        <v>89</v>
      </c>
      <c r="E31" s="3"/>
      <c r="F31" s="3"/>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
    </row>
    <row r="32" spans="1:38" x14ac:dyDescent="0.25">
      <c r="A32" s="3"/>
      <c r="B32" s="15"/>
      <c r="C32" s="3"/>
      <c r="D32" s="12" t="s">
        <v>82</v>
      </c>
      <c r="E32" s="10" t="s">
        <v>83</v>
      </c>
      <c r="F32" s="3"/>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
    </row>
    <row r="33" spans="1:38" x14ac:dyDescent="0.25">
      <c r="A33" s="3"/>
      <c r="B33" s="283" t="str">
        <f t="shared" ref="B33:B38" si="7">IF(AND(COUNTIF($G33:$AK33,"&lt;&gt;"&amp;"")&gt;0, ISBLANK($D33)),"Label missing","")</f>
        <v/>
      </c>
      <c r="C33" s="3"/>
      <c r="D33" s="54"/>
      <c r="E33" s="55"/>
      <c r="F33" s="10"/>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3"/>
    </row>
    <row r="34" spans="1:38" x14ac:dyDescent="0.25">
      <c r="A34" s="3"/>
      <c r="B34" s="283" t="str">
        <f t="shared" si="7"/>
        <v/>
      </c>
      <c r="C34" s="3"/>
      <c r="D34" s="54"/>
      <c r="E34" s="55"/>
      <c r="F34" s="10"/>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3"/>
    </row>
    <row r="35" spans="1:38" x14ac:dyDescent="0.25">
      <c r="A35" s="3"/>
      <c r="B35" s="283" t="str">
        <f t="shared" si="7"/>
        <v/>
      </c>
      <c r="C35" s="3"/>
      <c r="D35" s="54"/>
      <c r="E35" s="55"/>
      <c r="F35" s="10"/>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3"/>
    </row>
    <row r="36" spans="1:38" x14ac:dyDescent="0.25">
      <c r="A36" s="3"/>
      <c r="B36" s="283" t="str">
        <f t="shared" si="7"/>
        <v/>
      </c>
      <c r="C36" s="3"/>
      <c r="D36" s="54"/>
      <c r="E36" s="55"/>
      <c r="F36" s="10"/>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3"/>
    </row>
    <row r="37" spans="1:38" x14ac:dyDescent="0.25">
      <c r="A37" s="3"/>
      <c r="B37" s="283" t="str">
        <f t="shared" si="7"/>
        <v/>
      </c>
      <c r="C37" s="3"/>
      <c r="D37" s="54"/>
      <c r="E37" s="55"/>
      <c r="F37" s="10"/>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3"/>
    </row>
    <row r="38" spans="1:38" x14ac:dyDescent="0.25">
      <c r="A38" s="3"/>
      <c r="B38" s="283" t="str">
        <f t="shared" si="7"/>
        <v/>
      </c>
      <c r="C38" s="3"/>
      <c r="D38" s="54"/>
      <c r="E38" s="55"/>
      <c r="F38" s="10"/>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3"/>
    </row>
    <row r="39" spans="1:38" x14ac:dyDescent="0.25">
      <c r="A39" s="3"/>
      <c r="B39" s="15"/>
      <c r="C39" s="3"/>
      <c r="D39" s="11" t="s">
        <v>90</v>
      </c>
      <c r="E39" s="11"/>
      <c r="F39" s="11"/>
      <c r="G39" s="30">
        <f>SUM(G33:G38)</f>
        <v>0</v>
      </c>
      <c r="H39" s="30">
        <f t="shared" ref="H39:AH39" si="8">SUM(H33:H38)</f>
        <v>0</v>
      </c>
      <c r="I39" s="30">
        <f t="shared" si="8"/>
        <v>0</v>
      </c>
      <c r="J39" s="30">
        <f t="shared" si="8"/>
        <v>0</v>
      </c>
      <c r="K39" s="30">
        <f t="shared" si="8"/>
        <v>0</v>
      </c>
      <c r="L39" s="30">
        <f t="shared" si="8"/>
        <v>0</v>
      </c>
      <c r="M39" s="30">
        <f t="shared" si="8"/>
        <v>0</v>
      </c>
      <c r="N39" s="30">
        <f t="shared" si="8"/>
        <v>0</v>
      </c>
      <c r="O39" s="30">
        <f t="shared" si="8"/>
        <v>0</v>
      </c>
      <c r="P39" s="30">
        <f t="shared" si="8"/>
        <v>0</v>
      </c>
      <c r="Q39" s="30">
        <f t="shared" si="8"/>
        <v>0</v>
      </c>
      <c r="R39" s="30">
        <f t="shared" si="8"/>
        <v>0</v>
      </c>
      <c r="S39" s="30">
        <f t="shared" si="8"/>
        <v>0</v>
      </c>
      <c r="T39" s="30">
        <f t="shared" si="8"/>
        <v>0</v>
      </c>
      <c r="U39" s="30">
        <f t="shared" si="8"/>
        <v>0</v>
      </c>
      <c r="V39" s="30">
        <f t="shared" si="8"/>
        <v>0</v>
      </c>
      <c r="W39" s="30">
        <f t="shared" si="8"/>
        <v>0</v>
      </c>
      <c r="X39" s="30">
        <f t="shared" si="8"/>
        <v>0</v>
      </c>
      <c r="Y39" s="30">
        <f t="shared" si="8"/>
        <v>0</v>
      </c>
      <c r="Z39" s="30">
        <f t="shared" si="8"/>
        <v>0</v>
      </c>
      <c r="AA39" s="30">
        <f t="shared" si="8"/>
        <v>0</v>
      </c>
      <c r="AB39" s="30">
        <f t="shared" si="8"/>
        <v>0</v>
      </c>
      <c r="AC39" s="30">
        <f t="shared" si="8"/>
        <v>0</v>
      </c>
      <c r="AD39" s="30">
        <f t="shared" si="8"/>
        <v>0</v>
      </c>
      <c r="AE39" s="30">
        <f t="shared" si="8"/>
        <v>0</v>
      </c>
      <c r="AF39" s="30">
        <f t="shared" si="8"/>
        <v>0</v>
      </c>
      <c r="AG39" s="30">
        <f t="shared" si="8"/>
        <v>0</v>
      </c>
      <c r="AH39" s="30">
        <f t="shared" si="8"/>
        <v>0</v>
      </c>
      <c r="AI39" s="30">
        <f>SUM(AI33:AI38)</f>
        <v>0</v>
      </c>
      <c r="AJ39" s="30">
        <f>SUM(AJ33:AJ38)</f>
        <v>0</v>
      </c>
      <c r="AK39" s="30">
        <f>SUM(AK33:AK38)</f>
        <v>0</v>
      </c>
      <c r="AL39" s="3"/>
    </row>
    <row r="40" spans="1:38" x14ac:dyDescent="0.25">
      <c r="A40" s="3"/>
      <c r="B40" s="15"/>
      <c r="C40" s="3"/>
      <c r="D40" s="3"/>
      <c r="E40" s="3"/>
      <c r="F40" s="3"/>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
    </row>
    <row r="41" spans="1:38" x14ac:dyDescent="0.25">
      <c r="A41" s="3"/>
      <c r="B41" s="15"/>
      <c r="C41" s="3"/>
      <c r="D41" s="13" t="s">
        <v>85</v>
      </c>
      <c r="E41" s="6" t="s">
        <v>83</v>
      </c>
      <c r="F41" s="3"/>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
    </row>
    <row r="42" spans="1:38" x14ac:dyDescent="0.25">
      <c r="A42" s="3"/>
      <c r="B42" s="283" t="str">
        <f t="shared" ref="B42:B47" si="9">IF(AND(COUNTIF($G42:$AK42,"&lt;&gt;"&amp;"")&gt;0, ISBLANK($D42)),"Label missing","")</f>
        <v/>
      </c>
      <c r="C42" s="3"/>
      <c r="D42" s="57"/>
      <c r="E42" s="57"/>
      <c r="F42" s="6"/>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3"/>
    </row>
    <row r="43" spans="1:38" x14ac:dyDescent="0.25">
      <c r="A43" s="3"/>
      <c r="B43" s="283" t="str">
        <f t="shared" si="9"/>
        <v/>
      </c>
      <c r="C43" s="3"/>
      <c r="D43" s="57"/>
      <c r="E43" s="57"/>
      <c r="F43" s="6"/>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3"/>
    </row>
    <row r="44" spans="1:38" x14ac:dyDescent="0.25">
      <c r="A44" s="3"/>
      <c r="B44" s="283" t="str">
        <f t="shared" si="9"/>
        <v/>
      </c>
      <c r="C44" s="3"/>
      <c r="D44" s="57"/>
      <c r="E44" s="57"/>
      <c r="F44" s="6"/>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3"/>
    </row>
    <row r="45" spans="1:38" x14ac:dyDescent="0.25">
      <c r="A45" s="3"/>
      <c r="B45" s="283" t="str">
        <f t="shared" si="9"/>
        <v/>
      </c>
      <c r="C45" s="3"/>
      <c r="D45" s="57"/>
      <c r="E45" s="57"/>
      <c r="F45" s="6"/>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3"/>
    </row>
    <row r="46" spans="1:38" x14ac:dyDescent="0.25">
      <c r="A46" s="3"/>
      <c r="B46" s="283" t="str">
        <f t="shared" si="9"/>
        <v/>
      </c>
      <c r="C46" s="3"/>
      <c r="D46" s="57"/>
      <c r="E46" s="57"/>
      <c r="F46" s="6"/>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3"/>
    </row>
    <row r="47" spans="1:38" x14ac:dyDescent="0.25">
      <c r="A47" s="3"/>
      <c r="B47" s="283" t="str">
        <f t="shared" si="9"/>
        <v/>
      </c>
      <c r="C47" s="3"/>
      <c r="D47" s="57"/>
      <c r="E47" s="57"/>
      <c r="F47" s="6"/>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3"/>
    </row>
    <row r="48" spans="1:38" x14ac:dyDescent="0.25">
      <c r="A48" s="3"/>
      <c r="B48" s="3"/>
      <c r="C48" s="3"/>
      <c r="D48" s="14" t="s">
        <v>91</v>
      </c>
      <c r="E48" s="14"/>
      <c r="F48" s="14"/>
      <c r="G48" s="32">
        <f>SUM(G42:G47)</f>
        <v>0</v>
      </c>
      <c r="H48" s="32">
        <f t="shared" ref="H48:AK48" si="10">SUM(H42:H47)</f>
        <v>0</v>
      </c>
      <c r="I48" s="32">
        <f t="shared" si="10"/>
        <v>0</v>
      </c>
      <c r="J48" s="32">
        <f t="shared" si="10"/>
        <v>0</v>
      </c>
      <c r="K48" s="32">
        <f t="shared" si="10"/>
        <v>0</v>
      </c>
      <c r="L48" s="32">
        <f t="shared" si="10"/>
        <v>0</v>
      </c>
      <c r="M48" s="32">
        <f t="shared" si="10"/>
        <v>0</v>
      </c>
      <c r="N48" s="32">
        <f t="shared" si="10"/>
        <v>0</v>
      </c>
      <c r="O48" s="32">
        <f t="shared" si="10"/>
        <v>0</v>
      </c>
      <c r="P48" s="32">
        <f t="shared" si="10"/>
        <v>0</v>
      </c>
      <c r="Q48" s="32">
        <f t="shared" si="10"/>
        <v>0</v>
      </c>
      <c r="R48" s="32">
        <f t="shared" si="10"/>
        <v>0</v>
      </c>
      <c r="S48" s="32">
        <f t="shared" si="10"/>
        <v>0</v>
      </c>
      <c r="T48" s="32">
        <f t="shared" si="10"/>
        <v>0</v>
      </c>
      <c r="U48" s="32">
        <f t="shared" si="10"/>
        <v>0</v>
      </c>
      <c r="V48" s="32">
        <f t="shared" si="10"/>
        <v>0</v>
      </c>
      <c r="W48" s="32">
        <f t="shared" si="10"/>
        <v>0</v>
      </c>
      <c r="X48" s="32">
        <f t="shared" si="10"/>
        <v>0</v>
      </c>
      <c r="Y48" s="32">
        <f t="shared" si="10"/>
        <v>0</v>
      </c>
      <c r="Z48" s="32">
        <f t="shared" si="10"/>
        <v>0</v>
      </c>
      <c r="AA48" s="32">
        <f t="shared" si="10"/>
        <v>0</v>
      </c>
      <c r="AB48" s="32">
        <f t="shared" si="10"/>
        <v>0</v>
      </c>
      <c r="AC48" s="32">
        <f t="shared" si="10"/>
        <v>0</v>
      </c>
      <c r="AD48" s="32">
        <f t="shared" si="10"/>
        <v>0</v>
      </c>
      <c r="AE48" s="32">
        <f t="shared" si="10"/>
        <v>0</v>
      </c>
      <c r="AF48" s="32">
        <f t="shared" si="10"/>
        <v>0</v>
      </c>
      <c r="AG48" s="32">
        <f t="shared" si="10"/>
        <v>0</v>
      </c>
      <c r="AH48" s="32">
        <f t="shared" si="10"/>
        <v>0</v>
      </c>
      <c r="AI48" s="32">
        <f t="shared" si="10"/>
        <v>0</v>
      </c>
      <c r="AJ48" s="32">
        <f t="shared" si="10"/>
        <v>0</v>
      </c>
      <c r="AK48" s="32">
        <f t="shared" si="10"/>
        <v>0</v>
      </c>
      <c r="AL48" s="3"/>
    </row>
    <row r="49" spans="1:38" x14ac:dyDescent="0.25">
      <c r="A49" s="3"/>
      <c r="B49" s="3"/>
      <c r="C49" s="3"/>
      <c r="D49" s="3"/>
      <c r="E49" s="3"/>
      <c r="F49" s="3"/>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
    </row>
    <row r="50" spans="1:38" x14ac:dyDescent="0.25">
      <c r="A50" s="3"/>
      <c r="B50" s="3"/>
      <c r="C50" s="3"/>
      <c r="D50" s="3" t="s">
        <v>92</v>
      </c>
      <c r="E50" s="3"/>
      <c r="F50" s="3"/>
      <c r="G50" s="31">
        <f>G39-G48</f>
        <v>0</v>
      </c>
      <c r="H50" s="31">
        <f t="shared" ref="H50:AK50" si="11">H39-H48</f>
        <v>0</v>
      </c>
      <c r="I50" s="31">
        <f t="shared" si="11"/>
        <v>0</v>
      </c>
      <c r="J50" s="31">
        <f t="shared" si="11"/>
        <v>0</v>
      </c>
      <c r="K50" s="31">
        <f t="shared" si="11"/>
        <v>0</v>
      </c>
      <c r="L50" s="31">
        <f t="shared" si="11"/>
        <v>0</v>
      </c>
      <c r="M50" s="31">
        <f t="shared" si="11"/>
        <v>0</v>
      </c>
      <c r="N50" s="31">
        <f t="shared" si="11"/>
        <v>0</v>
      </c>
      <c r="O50" s="31">
        <f t="shared" si="11"/>
        <v>0</v>
      </c>
      <c r="P50" s="31">
        <f t="shared" si="11"/>
        <v>0</v>
      </c>
      <c r="Q50" s="31">
        <f t="shared" si="11"/>
        <v>0</v>
      </c>
      <c r="R50" s="31">
        <f t="shared" si="11"/>
        <v>0</v>
      </c>
      <c r="S50" s="31">
        <f t="shared" si="11"/>
        <v>0</v>
      </c>
      <c r="T50" s="31">
        <f t="shared" si="11"/>
        <v>0</v>
      </c>
      <c r="U50" s="31">
        <f t="shared" si="11"/>
        <v>0</v>
      </c>
      <c r="V50" s="31">
        <f t="shared" si="11"/>
        <v>0</v>
      </c>
      <c r="W50" s="31">
        <f t="shared" si="11"/>
        <v>0</v>
      </c>
      <c r="X50" s="31">
        <f t="shared" si="11"/>
        <v>0</v>
      </c>
      <c r="Y50" s="31">
        <f t="shared" si="11"/>
        <v>0</v>
      </c>
      <c r="Z50" s="31">
        <f t="shared" si="11"/>
        <v>0</v>
      </c>
      <c r="AA50" s="31">
        <f t="shared" si="11"/>
        <v>0</v>
      </c>
      <c r="AB50" s="31">
        <f t="shared" si="11"/>
        <v>0</v>
      </c>
      <c r="AC50" s="31">
        <f t="shared" si="11"/>
        <v>0</v>
      </c>
      <c r="AD50" s="31">
        <f t="shared" si="11"/>
        <v>0</v>
      </c>
      <c r="AE50" s="31">
        <f t="shared" si="11"/>
        <v>0</v>
      </c>
      <c r="AF50" s="31">
        <f t="shared" si="11"/>
        <v>0</v>
      </c>
      <c r="AG50" s="31">
        <f t="shared" si="11"/>
        <v>0</v>
      </c>
      <c r="AH50" s="31">
        <f t="shared" si="11"/>
        <v>0</v>
      </c>
      <c r="AI50" s="31">
        <f t="shared" si="11"/>
        <v>0</v>
      </c>
      <c r="AJ50" s="31">
        <f t="shared" si="11"/>
        <v>0</v>
      </c>
      <c r="AK50" s="31">
        <f t="shared" si="11"/>
        <v>0</v>
      </c>
      <c r="AL50" s="3"/>
    </row>
    <row r="51" spans="1:38" x14ac:dyDescent="0.25">
      <c r="A51" s="3"/>
      <c r="B51" s="3"/>
      <c r="C51" s="3"/>
      <c r="D51" s="3"/>
      <c r="E51" s="3"/>
      <c r="F51" s="3"/>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
    </row>
    <row r="52" spans="1:38" x14ac:dyDescent="0.25">
      <c r="A52" s="3"/>
      <c r="B52" s="3"/>
      <c r="C52" s="3"/>
      <c r="D52" s="9" t="s">
        <v>93</v>
      </c>
      <c r="E52" s="3"/>
      <c r="F52" s="3"/>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
    </row>
    <row r="53" spans="1:38" x14ac:dyDescent="0.25">
      <c r="A53" s="3"/>
      <c r="B53" s="3"/>
      <c r="C53" s="3"/>
      <c r="D53" s="12" t="s">
        <v>82</v>
      </c>
      <c r="E53" s="10" t="s">
        <v>83</v>
      </c>
      <c r="F53" s="3"/>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
    </row>
    <row r="54" spans="1:38" x14ac:dyDescent="0.25">
      <c r="A54" s="41">
        <f t="shared" ref="A54:A59" si="12">IF(AND(C54&lt;&gt;"&lt;Select&gt;",C54&lt;&gt;"",ISERROR(_xlfn.XMATCH(C54,Fuel_Type_PP_Ar))),1,0)</f>
        <v>0</v>
      </c>
      <c r="B54" s="41">
        <f>SUM(B53,IF(D54&lt;&gt;"&lt;Select&gt;",1,0))</f>
        <v>0</v>
      </c>
      <c r="C54" s="41" t="str">
        <f>_xlfn.XLOOKUP(D54,Data!$B$28:$B$45,Data!$C$28:$C$45)</f>
        <v>&lt;Select&gt;</v>
      </c>
      <c r="D54" s="54" t="s">
        <v>94</v>
      </c>
      <c r="E54" s="55"/>
      <c r="F54" s="10"/>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3"/>
    </row>
    <row r="55" spans="1:38" x14ac:dyDescent="0.25">
      <c r="A55" s="41">
        <f t="shared" si="12"/>
        <v>0</v>
      </c>
      <c r="B55" s="41">
        <f t="shared" ref="B55:B59" si="13">SUM(B54,IF(D55&lt;&gt;"&lt;Select&gt;",1,0))</f>
        <v>0</v>
      </c>
      <c r="C55" s="41" t="str">
        <f>_xlfn.XLOOKUP(D55,Data!$B$28:$B$45,Data!$C$28:$C$45)</f>
        <v>&lt;Select&gt;</v>
      </c>
      <c r="D55" s="54" t="s">
        <v>94</v>
      </c>
      <c r="E55" s="55"/>
      <c r="F55" s="10"/>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3"/>
    </row>
    <row r="56" spans="1:38" x14ac:dyDescent="0.25">
      <c r="A56" s="41">
        <f t="shared" si="12"/>
        <v>0</v>
      </c>
      <c r="B56" s="41">
        <f t="shared" si="13"/>
        <v>0</v>
      </c>
      <c r="C56" s="41" t="str">
        <f>_xlfn.XLOOKUP(D56,Data!$B$28:$B$45,Data!$C$28:$C$45)</f>
        <v>&lt;Select&gt;</v>
      </c>
      <c r="D56" s="54" t="s">
        <v>94</v>
      </c>
      <c r="E56" s="55"/>
      <c r="F56" s="10"/>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3"/>
    </row>
    <row r="57" spans="1:38" x14ac:dyDescent="0.25">
      <c r="A57" s="41">
        <f t="shared" si="12"/>
        <v>0</v>
      </c>
      <c r="B57" s="41">
        <f t="shared" si="13"/>
        <v>0</v>
      </c>
      <c r="C57" s="41" t="str">
        <f>_xlfn.XLOOKUP(D57,Data!$B$28:$B$45,Data!$C$28:$C$45)</f>
        <v>&lt;Select&gt;</v>
      </c>
      <c r="D57" s="54" t="s">
        <v>94</v>
      </c>
      <c r="E57" s="55"/>
      <c r="F57" s="10"/>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3"/>
    </row>
    <row r="58" spans="1:38" x14ac:dyDescent="0.25">
      <c r="A58" s="41">
        <f t="shared" si="12"/>
        <v>0</v>
      </c>
      <c r="B58" s="41">
        <f t="shared" si="13"/>
        <v>0</v>
      </c>
      <c r="C58" s="41" t="str">
        <f>_xlfn.XLOOKUP(D58,Data!$B$28:$B$45,Data!$C$28:$C$45)</f>
        <v>&lt;Select&gt;</v>
      </c>
      <c r="D58" s="54" t="s">
        <v>94</v>
      </c>
      <c r="E58" s="55"/>
      <c r="F58" s="10"/>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3"/>
    </row>
    <row r="59" spans="1:38" x14ac:dyDescent="0.25">
      <c r="A59" s="41">
        <f t="shared" si="12"/>
        <v>0</v>
      </c>
      <c r="B59" s="41">
        <f t="shared" si="13"/>
        <v>0</v>
      </c>
      <c r="C59" s="41" t="str">
        <f>_xlfn.XLOOKUP(D59,Data!$B$28:$B$45,Data!$C$28:$C$45)</f>
        <v>&lt;Select&gt;</v>
      </c>
      <c r="D59" s="54" t="s">
        <v>94</v>
      </c>
      <c r="E59" s="55"/>
      <c r="F59" s="10"/>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3"/>
    </row>
    <row r="60" spans="1:38" x14ac:dyDescent="0.25">
      <c r="A60" s="41"/>
      <c r="B60" s="41"/>
      <c r="C60" s="41"/>
      <c r="D60" s="11" t="s">
        <v>95</v>
      </c>
      <c r="E60" s="11"/>
      <c r="F60" s="11"/>
      <c r="G60" s="30">
        <f>SUM(G54:G59)</f>
        <v>0</v>
      </c>
      <c r="H60" s="30">
        <f t="shared" ref="H60:AI60" si="14">SUM(H54:H59)</f>
        <v>0</v>
      </c>
      <c r="I60" s="30">
        <f t="shared" si="14"/>
        <v>0</v>
      </c>
      <c r="J60" s="30">
        <f t="shared" si="14"/>
        <v>0</v>
      </c>
      <c r="K60" s="30">
        <f t="shared" si="14"/>
        <v>0</v>
      </c>
      <c r="L60" s="30">
        <f t="shared" si="14"/>
        <v>0</v>
      </c>
      <c r="M60" s="30">
        <f t="shared" si="14"/>
        <v>0</v>
      </c>
      <c r="N60" s="30">
        <f t="shared" si="14"/>
        <v>0</v>
      </c>
      <c r="O60" s="30">
        <f t="shared" si="14"/>
        <v>0</v>
      </c>
      <c r="P60" s="30">
        <f t="shared" si="14"/>
        <v>0</v>
      </c>
      <c r="Q60" s="30">
        <f t="shared" si="14"/>
        <v>0</v>
      </c>
      <c r="R60" s="30">
        <f t="shared" si="14"/>
        <v>0</v>
      </c>
      <c r="S60" s="30">
        <f t="shared" si="14"/>
        <v>0</v>
      </c>
      <c r="T60" s="30">
        <f t="shared" si="14"/>
        <v>0</v>
      </c>
      <c r="U60" s="30">
        <f t="shared" si="14"/>
        <v>0</v>
      </c>
      <c r="V60" s="30">
        <f t="shared" si="14"/>
        <v>0</v>
      </c>
      <c r="W60" s="30">
        <f t="shared" si="14"/>
        <v>0</v>
      </c>
      <c r="X60" s="30">
        <f t="shared" si="14"/>
        <v>0</v>
      </c>
      <c r="Y60" s="30">
        <f t="shared" si="14"/>
        <v>0</v>
      </c>
      <c r="Z60" s="30">
        <f t="shared" si="14"/>
        <v>0</v>
      </c>
      <c r="AA60" s="30">
        <f t="shared" si="14"/>
        <v>0</v>
      </c>
      <c r="AB60" s="30">
        <f t="shared" si="14"/>
        <v>0</v>
      </c>
      <c r="AC60" s="30">
        <f t="shared" si="14"/>
        <v>0</v>
      </c>
      <c r="AD60" s="30">
        <f t="shared" si="14"/>
        <v>0</v>
      </c>
      <c r="AE60" s="30">
        <f t="shared" si="14"/>
        <v>0</v>
      </c>
      <c r="AF60" s="30">
        <f t="shared" si="14"/>
        <v>0</v>
      </c>
      <c r="AG60" s="30">
        <f t="shared" si="14"/>
        <v>0</v>
      </c>
      <c r="AH60" s="30">
        <f t="shared" si="14"/>
        <v>0</v>
      </c>
      <c r="AI60" s="30">
        <f t="shared" si="14"/>
        <v>0</v>
      </c>
      <c r="AJ60" s="30">
        <f>SUM(AJ54:AJ59)</f>
        <v>0</v>
      </c>
      <c r="AK60" s="30">
        <f>SUM(AK54:AK59)</f>
        <v>0</v>
      </c>
      <c r="AL60" s="3"/>
    </row>
    <row r="61" spans="1:38" x14ac:dyDescent="0.25">
      <c r="A61" s="41"/>
      <c r="B61" s="41"/>
      <c r="C61" s="41"/>
      <c r="D61" s="3"/>
      <c r="E61" s="3"/>
      <c r="F61" s="3"/>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
    </row>
    <row r="62" spans="1:38" x14ac:dyDescent="0.25">
      <c r="A62" s="41"/>
      <c r="B62" s="41">
        <f>B59</f>
        <v>0</v>
      </c>
      <c r="C62" s="41"/>
      <c r="D62" s="13" t="s">
        <v>85</v>
      </c>
      <c r="E62" s="6" t="s">
        <v>83</v>
      </c>
      <c r="F62" s="3"/>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
    </row>
    <row r="63" spans="1:38" x14ac:dyDescent="0.25">
      <c r="A63" s="41">
        <f t="shared" ref="A63:A68" si="15">IF(AND(C63&lt;&gt;"&lt;Select&gt;",C63&lt;&gt;"",ISERROR(_xlfn.XMATCH(C63,Fuel_Type_BC_Ar))),1,0)</f>
        <v>0</v>
      </c>
      <c r="B63" s="41">
        <f t="shared" ref="B63:B68" si="16">SUM(B62,IF(AND(D63&lt;&gt;"&lt;Select&gt;",ISERROR(_xlfn.XMATCH(D63,Fuel_Opex_Type_PP_Ar))),1,0))</f>
        <v>0</v>
      </c>
      <c r="C63" s="41" t="str">
        <f>_xlfn.XLOOKUP(D63,Data!$B$28:$B$45,Data!$C$28:$C$45)</f>
        <v>&lt;Select&gt;</v>
      </c>
      <c r="D63" s="57" t="s">
        <v>94</v>
      </c>
      <c r="E63" s="57"/>
      <c r="F63" s="6"/>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3"/>
    </row>
    <row r="64" spans="1:38" x14ac:dyDescent="0.25">
      <c r="A64" s="41">
        <f t="shared" si="15"/>
        <v>0</v>
      </c>
      <c r="B64" s="41">
        <f t="shared" si="16"/>
        <v>0</v>
      </c>
      <c r="C64" s="41" t="str">
        <f>_xlfn.XLOOKUP(D64,Data!$B$28:$B$45,Data!$C$28:$C$45)</f>
        <v>&lt;Select&gt;</v>
      </c>
      <c r="D64" s="57" t="s">
        <v>94</v>
      </c>
      <c r="E64" s="57"/>
      <c r="F64" s="6"/>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3"/>
    </row>
    <row r="65" spans="1:38" x14ac:dyDescent="0.25">
      <c r="A65" s="41">
        <f t="shared" si="15"/>
        <v>0</v>
      </c>
      <c r="B65" s="41">
        <f t="shared" si="16"/>
        <v>0</v>
      </c>
      <c r="C65" s="41" t="str">
        <f>_xlfn.XLOOKUP(D65,Data!$B$28:$B$45,Data!$C$28:$C$45)</f>
        <v>&lt;Select&gt;</v>
      </c>
      <c r="D65" s="57" t="s">
        <v>94</v>
      </c>
      <c r="E65" s="57"/>
      <c r="F65" s="6"/>
      <c r="G65" s="58"/>
      <c r="H65" s="58"/>
      <c r="I65" s="58"/>
      <c r="J65" s="58"/>
      <c r="K65" s="58"/>
      <c r="L65" s="58"/>
      <c r="M65" s="58"/>
      <c r="N65" s="58"/>
      <c r="O65" s="56"/>
      <c r="P65" s="56"/>
      <c r="Q65" s="56"/>
      <c r="R65" s="56"/>
      <c r="S65" s="56"/>
      <c r="T65" s="56"/>
      <c r="U65" s="56"/>
      <c r="V65" s="58"/>
      <c r="W65" s="58"/>
      <c r="X65" s="58"/>
      <c r="Y65" s="58"/>
      <c r="Z65" s="58"/>
      <c r="AA65" s="58"/>
      <c r="AB65" s="58"/>
      <c r="AC65" s="58"/>
      <c r="AD65" s="58"/>
      <c r="AE65" s="58"/>
      <c r="AF65" s="58"/>
      <c r="AG65" s="58"/>
      <c r="AH65" s="58"/>
      <c r="AI65" s="58"/>
      <c r="AJ65" s="58"/>
      <c r="AK65" s="58"/>
      <c r="AL65" s="3"/>
    </row>
    <row r="66" spans="1:38" x14ac:dyDescent="0.25">
      <c r="A66" s="41">
        <f t="shared" si="15"/>
        <v>0</v>
      </c>
      <c r="B66" s="41">
        <f t="shared" si="16"/>
        <v>0</v>
      </c>
      <c r="C66" s="41" t="str">
        <f>_xlfn.XLOOKUP(D66,Data!$B$28:$B$45,Data!$C$28:$C$45)</f>
        <v>&lt;Select&gt;</v>
      </c>
      <c r="D66" s="57" t="s">
        <v>94</v>
      </c>
      <c r="E66" s="57"/>
      <c r="F66" s="6"/>
      <c r="G66" s="58"/>
      <c r="H66" s="58"/>
      <c r="I66" s="58"/>
      <c r="J66" s="58"/>
      <c r="K66" s="58"/>
      <c r="L66" s="58"/>
      <c r="M66" s="58"/>
      <c r="N66" s="58"/>
      <c r="O66" s="56"/>
      <c r="P66" s="56"/>
      <c r="Q66" s="56"/>
      <c r="R66" s="56"/>
      <c r="S66" s="56"/>
      <c r="T66" s="56"/>
      <c r="U66" s="56"/>
      <c r="V66" s="58"/>
      <c r="W66" s="58"/>
      <c r="X66" s="58"/>
      <c r="Y66" s="58"/>
      <c r="Z66" s="58"/>
      <c r="AA66" s="58"/>
      <c r="AB66" s="58"/>
      <c r="AC66" s="58"/>
      <c r="AD66" s="58"/>
      <c r="AE66" s="58"/>
      <c r="AF66" s="58"/>
      <c r="AG66" s="58"/>
      <c r="AH66" s="58"/>
      <c r="AI66" s="58"/>
      <c r="AJ66" s="58"/>
      <c r="AK66" s="58"/>
      <c r="AL66" s="3"/>
    </row>
    <row r="67" spans="1:38" x14ac:dyDescent="0.25">
      <c r="A67" s="41">
        <f t="shared" si="15"/>
        <v>0</v>
      </c>
      <c r="B67" s="41">
        <f t="shared" si="16"/>
        <v>0</v>
      </c>
      <c r="C67" s="41" t="str">
        <f>_xlfn.XLOOKUP(D67,Data!$B$28:$B$45,Data!$C$28:$C$45)</f>
        <v>&lt;Select&gt;</v>
      </c>
      <c r="D67" s="57" t="s">
        <v>94</v>
      </c>
      <c r="E67" s="57"/>
      <c r="F67" s="6"/>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3"/>
    </row>
    <row r="68" spans="1:38" x14ac:dyDescent="0.25">
      <c r="A68" s="41">
        <f t="shared" si="15"/>
        <v>0</v>
      </c>
      <c r="B68" s="41">
        <f t="shared" si="16"/>
        <v>0</v>
      </c>
      <c r="C68" s="41" t="str">
        <f>_xlfn.XLOOKUP(D68,Data!$B$28:$B$45,Data!$C$28:$C$45)</f>
        <v>&lt;Select&gt;</v>
      </c>
      <c r="D68" s="57" t="s">
        <v>94</v>
      </c>
      <c r="E68" s="57"/>
      <c r="F68" s="6"/>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3"/>
    </row>
    <row r="69" spans="1:38" x14ac:dyDescent="0.25">
      <c r="A69" s="3"/>
      <c r="B69" s="3"/>
      <c r="C69" s="3"/>
      <c r="D69" s="14" t="s">
        <v>96</v>
      </c>
      <c r="E69" s="14"/>
      <c r="F69" s="14"/>
      <c r="G69" s="32">
        <f>SUM(G63:G68)</f>
        <v>0</v>
      </c>
      <c r="H69" s="32">
        <f t="shared" ref="H69:AK69" si="17">SUM(H63:H68)</f>
        <v>0</v>
      </c>
      <c r="I69" s="32">
        <f t="shared" si="17"/>
        <v>0</v>
      </c>
      <c r="J69" s="32">
        <f t="shared" si="17"/>
        <v>0</v>
      </c>
      <c r="K69" s="32">
        <f t="shared" si="17"/>
        <v>0</v>
      </c>
      <c r="L69" s="32">
        <f t="shared" si="17"/>
        <v>0</v>
      </c>
      <c r="M69" s="32">
        <f t="shared" si="17"/>
        <v>0</v>
      </c>
      <c r="N69" s="32">
        <f t="shared" si="17"/>
        <v>0</v>
      </c>
      <c r="O69" s="32">
        <f t="shared" si="17"/>
        <v>0</v>
      </c>
      <c r="P69" s="32">
        <f t="shared" si="17"/>
        <v>0</v>
      </c>
      <c r="Q69" s="32">
        <f t="shared" si="17"/>
        <v>0</v>
      </c>
      <c r="R69" s="32">
        <f t="shared" si="17"/>
        <v>0</v>
      </c>
      <c r="S69" s="32">
        <f t="shared" si="17"/>
        <v>0</v>
      </c>
      <c r="T69" s="32">
        <f t="shared" si="17"/>
        <v>0</v>
      </c>
      <c r="U69" s="32">
        <f t="shared" si="17"/>
        <v>0</v>
      </c>
      <c r="V69" s="32">
        <f t="shared" si="17"/>
        <v>0</v>
      </c>
      <c r="W69" s="32">
        <f t="shared" si="17"/>
        <v>0</v>
      </c>
      <c r="X69" s="32">
        <f t="shared" si="17"/>
        <v>0</v>
      </c>
      <c r="Y69" s="32">
        <f t="shared" si="17"/>
        <v>0</v>
      </c>
      <c r="Z69" s="32">
        <f t="shared" si="17"/>
        <v>0</v>
      </c>
      <c r="AA69" s="32">
        <f t="shared" si="17"/>
        <v>0</v>
      </c>
      <c r="AB69" s="32">
        <f t="shared" si="17"/>
        <v>0</v>
      </c>
      <c r="AC69" s="32">
        <f t="shared" si="17"/>
        <v>0</v>
      </c>
      <c r="AD69" s="32">
        <f t="shared" si="17"/>
        <v>0</v>
      </c>
      <c r="AE69" s="32">
        <f t="shared" si="17"/>
        <v>0</v>
      </c>
      <c r="AF69" s="32">
        <f t="shared" si="17"/>
        <v>0</v>
      </c>
      <c r="AG69" s="32">
        <f t="shared" si="17"/>
        <v>0</v>
      </c>
      <c r="AH69" s="32">
        <f t="shared" si="17"/>
        <v>0</v>
      </c>
      <c r="AI69" s="32">
        <f t="shared" si="17"/>
        <v>0</v>
      </c>
      <c r="AJ69" s="32">
        <f t="shared" si="17"/>
        <v>0</v>
      </c>
      <c r="AK69" s="32">
        <f t="shared" si="17"/>
        <v>0</v>
      </c>
      <c r="AL69" s="3"/>
    </row>
    <row r="70" spans="1:38" x14ac:dyDescent="0.25">
      <c r="A70" s="3"/>
      <c r="B70" s="3"/>
      <c r="C70" s="3"/>
      <c r="D70" s="3"/>
      <c r="E70" s="3"/>
      <c r="F70" s="3"/>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
    </row>
    <row r="71" spans="1:38" x14ac:dyDescent="0.25">
      <c r="A71" s="3"/>
      <c r="B71" s="3"/>
      <c r="C71" s="3"/>
      <c r="D71" s="3" t="s">
        <v>97</v>
      </c>
      <c r="E71" s="3"/>
      <c r="F71" s="3"/>
      <c r="G71" s="31">
        <f>G60-G69</f>
        <v>0</v>
      </c>
      <c r="H71" s="31">
        <f t="shared" ref="H71:AK71" si="18">H60-H69</f>
        <v>0</v>
      </c>
      <c r="I71" s="31">
        <f t="shared" si="18"/>
        <v>0</v>
      </c>
      <c r="J71" s="31">
        <f t="shared" si="18"/>
        <v>0</v>
      </c>
      <c r="K71" s="31">
        <f t="shared" si="18"/>
        <v>0</v>
      </c>
      <c r="L71" s="31">
        <f t="shared" si="18"/>
        <v>0</v>
      </c>
      <c r="M71" s="31">
        <f t="shared" si="18"/>
        <v>0</v>
      </c>
      <c r="N71" s="31">
        <f t="shared" si="18"/>
        <v>0</v>
      </c>
      <c r="O71" s="31">
        <f t="shared" si="18"/>
        <v>0</v>
      </c>
      <c r="P71" s="31">
        <f t="shared" si="18"/>
        <v>0</v>
      </c>
      <c r="Q71" s="31">
        <f t="shared" si="18"/>
        <v>0</v>
      </c>
      <c r="R71" s="31">
        <f t="shared" si="18"/>
        <v>0</v>
      </c>
      <c r="S71" s="31">
        <f t="shared" si="18"/>
        <v>0</v>
      </c>
      <c r="T71" s="31">
        <f t="shared" si="18"/>
        <v>0</v>
      </c>
      <c r="U71" s="31">
        <f t="shared" si="18"/>
        <v>0</v>
      </c>
      <c r="V71" s="31">
        <f t="shared" si="18"/>
        <v>0</v>
      </c>
      <c r="W71" s="31">
        <f t="shared" si="18"/>
        <v>0</v>
      </c>
      <c r="X71" s="31">
        <f t="shared" si="18"/>
        <v>0</v>
      </c>
      <c r="Y71" s="31">
        <f t="shared" si="18"/>
        <v>0</v>
      </c>
      <c r="Z71" s="31">
        <f t="shared" si="18"/>
        <v>0</v>
      </c>
      <c r="AA71" s="31">
        <f t="shared" si="18"/>
        <v>0</v>
      </c>
      <c r="AB71" s="31">
        <f t="shared" si="18"/>
        <v>0</v>
      </c>
      <c r="AC71" s="31">
        <f t="shared" si="18"/>
        <v>0</v>
      </c>
      <c r="AD71" s="31">
        <f t="shared" si="18"/>
        <v>0</v>
      </c>
      <c r="AE71" s="31">
        <f t="shared" si="18"/>
        <v>0</v>
      </c>
      <c r="AF71" s="31">
        <f t="shared" si="18"/>
        <v>0</v>
      </c>
      <c r="AG71" s="31">
        <f t="shared" si="18"/>
        <v>0</v>
      </c>
      <c r="AH71" s="31">
        <f t="shared" si="18"/>
        <v>0</v>
      </c>
      <c r="AI71" s="31">
        <f t="shared" si="18"/>
        <v>0</v>
      </c>
      <c r="AJ71" s="31">
        <f t="shared" si="18"/>
        <v>0</v>
      </c>
      <c r="AK71" s="31">
        <f t="shared" si="18"/>
        <v>0</v>
      </c>
      <c r="AL71" s="3"/>
    </row>
    <row r="72" spans="1:38" x14ac:dyDescent="0.25">
      <c r="A72" s="3"/>
      <c r="B72" s="3"/>
      <c r="C72" s="3"/>
      <c r="D72" s="3"/>
      <c r="E72" s="3"/>
      <c r="F72" s="3"/>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
    </row>
    <row r="73" spans="1:38" x14ac:dyDescent="0.25">
      <c r="A73" s="3"/>
      <c r="B73" s="3"/>
      <c r="C73" s="3"/>
      <c r="D73" s="9" t="s">
        <v>98</v>
      </c>
      <c r="E73" s="3"/>
      <c r="F73" s="3"/>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
    </row>
    <row r="74" spans="1:38" hidden="1" outlineLevel="1" x14ac:dyDescent="0.25">
      <c r="A74" s="3"/>
      <c r="B74" s="3"/>
      <c r="C74" s="3"/>
      <c r="D74" s="9" t="s">
        <v>99</v>
      </c>
      <c r="E74" s="3" t="s">
        <v>100</v>
      </c>
      <c r="F74" s="3"/>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
    </row>
    <row r="75" spans="1:38" hidden="1" outlineLevel="1" x14ac:dyDescent="0.25">
      <c r="A75" s="3"/>
      <c r="B75" s="3"/>
      <c r="C75" s="3"/>
      <c r="D75" s="12" t="s">
        <v>82</v>
      </c>
      <c r="E75" s="10"/>
      <c r="F75" s="10"/>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
    </row>
    <row r="76" spans="1:38" hidden="1" outlineLevel="1" x14ac:dyDescent="0.25">
      <c r="A76" s="3"/>
      <c r="B76" s="3"/>
      <c r="C76" s="3"/>
      <c r="D76" s="19" t="str">
        <f t="shared" ref="D76:D79" si="19">IF(D99="&lt;Select&gt;",".",D99)</f>
        <v>.</v>
      </c>
      <c r="E76" s="28" t="e" cm="1">
        <f t="array" ref="E76">IF(C99&lt;&gt;"&lt;Select&gt;",INDEX(EF_Ar,_xlfn.XMATCH(C99,EF_SI_Ar),_xlfn.XMATCH(D76,EF_Fuel_Ar)),".")</f>
        <v>#N/A</v>
      </c>
      <c r="F76" s="10"/>
      <c r="G76" s="35" t="str">
        <f>IF(G99&lt;&gt;"",G99*$E76*Data!D$135/1000,".")</f>
        <v>.</v>
      </c>
      <c r="H76" s="35" t="str">
        <f>IF(H99&lt;&gt;"",H99*$E76*Data!E$135/1000,".")</f>
        <v>.</v>
      </c>
      <c r="I76" s="35" t="str">
        <f>IF(I99&lt;&gt;"",I99*$E76*Data!F$135/1000,".")</f>
        <v>.</v>
      </c>
      <c r="J76" s="35" t="str">
        <f>IF(J99&lt;&gt;"",J99*$E76*Data!G$135/1000,".")</f>
        <v>.</v>
      </c>
      <c r="K76" s="35" t="str">
        <f>IF(K99&lt;&gt;"",K99*$E76*Data!H$135/1000,".")</f>
        <v>.</v>
      </c>
      <c r="L76" s="35" t="str">
        <f>IF(L99&lt;&gt;"",L99*$E76*Data!I$135/1000,".")</f>
        <v>.</v>
      </c>
      <c r="M76" s="35" t="str">
        <f>IF(M99&lt;&gt;"",M99*$E76*Data!J$135/1000,".")</f>
        <v>.</v>
      </c>
      <c r="N76" s="35" t="str">
        <f>IF(N99&lt;&gt;"",N99*$E76*Data!K$135/1000,".")</f>
        <v>.</v>
      </c>
      <c r="O76" s="35" t="str">
        <f>IF(O99&lt;&gt;"",O99*$E76*Data!L$135/1000,".")</f>
        <v>.</v>
      </c>
      <c r="P76" s="35" t="str">
        <f>IF(P99&lt;&gt;"",P99*$E76*Data!M$135/1000,".")</f>
        <v>.</v>
      </c>
      <c r="Q76" s="35" t="str">
        <f>IF(Q99&lt;&gt;"",Q99*$E76*Data!N$135/1000,".")</f>
        <v>.</v>
      </c>
      <c r="R76" s="35" t="str">
        <f>IF(R99&lt;&gt;"",R99*$E76*Data!O$135/1000,".")</f>
        <v>.</v>
      </c>
      <c r="S76" s="35" t="str">
        <f>IF(S99&lt;&gt;"",S99*$E76*Data!P$135/1000,".")</f>
        <v>.</v>
      </c>
      <c r="T76" s="35" t="str">
        <f>IF(T99&lt;&gt;"",T99*$E76*Data!Q$135/1000,".")</f>
        <v>.</v>
      </c>
      <c r="U76" s="35" t="str">
        <f>IF(U99&lt;&gt;"",U99*$E76*Data!R$135/1000,".")</f>
        <v>.</v>
      </c>
      <c r="V76" s="35" t="str">
        <f>IF(V99&lt;&gt;"",V99*$E76*Data!S$135/1000,".")</f>
        <v>.</v>
      </c>
      <c r="W76" s="35" t="str">
        <f>IF(W99&lt;&gt;"",W99*$E76*Data!T$135/1000,".")</f>
        <v>.</v>
      </c>
      <c r="X76" s="35" t="str">
        <f>IF(X99&lt;&gt;"",X99*$E76*Data!U$135/1000,".")</f>
        <v>.</v>
      </c>
      <c r="Y76" s="35" t="str">
        <f>IF(Y99&lt;&gt;"",Y99*$E76*Data!V$135/1000,".")</f>
        <v>.</v>
      </c>
      <c r="Z76" s="35" t="str">
        <f>IF(Z99&lt;&gt;"",Z99*$E76*Data!W$135/1000,".")</f>
        <v>.</v>
      </c>
      <c r="AA76" s="35" t="str">
        <f>IF(AA99&lt;&gt;"",AA99*$E76*Data!X$135/1000,".")</f>
        <v>.</v>
      </c>
      <c r="AB76" s="35" t="str">
        <f>IF(AB99&lt;&gt;"",AB99*$E76*Data!Y$135/1000,".")</f>
        <v>.</v>
      </c>
      <c r="AC76" s="35" t="str">
        <f>IF(AC99&lt;&gt;"",AC99*$E76*Data!Z$135/1000,".")</f>
        <v>.</v>
      </c>
      <c r="AD76" s="35" t="str">
        <f>IF(AD99&lt;&gt;"",AD99*$E76*Data!AA$135/1000,".")</f>
        <v>.</v>
      </c>
      <c r="AE76" s="35" t="str">
        <f>IF(AE99&lt;&gt;"",AE99*$E76*Data!AB$135/1000,".")</f>
        <v>.</v>
      </c>
      <c r="AF76" s="35" t="str">
        <f>IF(AF99&lt;&gt;"",AF99*$E76*Data!AC$135/1000,".")</f>
        <v>.</v>
      </c>
      <c r="AG76" s="35" t="str">
        <f>IF(AG99&lt;&gt;"",AG99*$E76*Data!AD$135/1000,".")</f>
        <v>.</v>
      </c>
      <c r="AH76" s="35" t="str">
        <f>IF(AH99&lt;&gt;"",AH99*$E76*Data!AE$135/1000,".")</f>
        <v>.</v>
      </c>
      <c r="AI76" s="35" t="str">
        <f>IF(AI99&lt;&gt;"",AI99*$E76*Data!AF$135/1000,".")</f>
        <v>.</v>
      </c>
      <c r="AJ76" s="35" t="str">
        <f>IF(AJ99&lt;&gt;"",AJ99*$E76*Data!AG$135/1000,".")</f>
        <v>.</v>
      </c>
      <c r="AK76" s="35" t="str">
        <f>IF(AK99&lt;&gt;"",AK99*$E76*Data!AH$135/1000,".")</f>
        <v>.</v>
      </c>
      <c r="AL76" s="3"/>
    </row>
    <row r="77" spans="1:38" hidden="1" outlineLevel="1" x14ac:dyDescent="0.25">
      <c r="A77" s="3"/>
      <c r="B77" s="3"/>
      <c r="C77" s="3"/>
      <c r="D77" s="20" t="str">
        <f t="shared" si="19"/>
        <v>.</v>
      </c>
      <c r="E77" s="28" t="str" cm="1">
        <f t="array" ref="E77">IF(C100&lt;&gt;"&lt;Select&gt;",INDEX(EF_Ar,_xlfn.XMATCH(C100,EF_SI_Ar),_xlfn.XMATCH(D77,EF_Fuel_Ar)),".")</f>
        <v>.</v>
      </c>
      <c r="F77" s="10"/>
      <c r="G77" s="35" t="str">
        <f>IF(G100&lt;&gt;"",G100*$E77*Data!D$135/1000,".")</f>
        <v>.</v>
      </c>
      <c r="H77" s="35" t="str">
        <f>IF(H100&lt;&gt;"",H100*$E77*Data!E$135/1000,".")</f>
        <v>.</v>
      </c>
      <c r="I77" s="35" t="str">
        <f>IF(I100&lt;&gt;"",I100*$E77*Data!F$135/1000,".")</f>
        <v>.</v>
      </c>
      <c r="J77" s="35" t="str">
        <f>IF(J100&lt;&gt;"",J100*$E77*Data!G$135/1000,".")</f>
        <v>.</v>
      </c>
      <c r="K77" s="35" t="str">
        <f>IF(K100&lt;&gt;"",K100*$E77*Data!H$135/1000,".")</f>
        <v>.</v>
      </c>
      <c r="L77" s="35" t="str">
        <f>IF(L100&lt;&gt;"",L100*$E77*Data!I$135/1000,".")</f>
        <v>.</v>
      </c>
      <c r="M77" s="35" t="str">
        <f>IF(M100&lt;&gt;"",M100*$E77*Data!J$135/1000,".")</f>
        <v>.</v>
      </c>
      <c r="N77" s="35" t="str">
        <f>IF(N100&lt;&gt;"",N100*$E77*Data!K$135/1000,".")</f>
        <v>.</v>
      </c>
      <c r="O77" s="35" t="str">
        <f>IF(O100&lt;&gt;"",O100*$E77*Data!L$135/1000,".")</f>
        <v>.</v>
      </c>
      <c r="P77" s="35" t="str">
        <f>IF(P100&lt;&gt;"",P100*$E77*Data!M$135/1000,".")</f>
        <v>.</v>
      </c>
      <c r="Q77" s="35" t="str">
        <f>IF(Q100&lt;&gt;"",Q100*$E77*Data!N$135/1000,".")</f>
        <v>.</v>
      </c>
      <c r="R77" s="35" t="str">
        <f>IF(R100&lt;&gt;"",R100*$E77*Data!O$135/1000,".")</f>
        <v>.</v>
      </c>
      <c r="S77" s="35" t="str">
        <f>IF(S100&lt;&gt;"",S100*$E77*Data!P$135/1000,".")</f>
        <v>.</v>
      </c>
      <c r="T77" s="35" t="str">
        <f>IF(T100&lt;&gt;"",T100*$E77*Data!Q$135/1000,".")</f>
        <v>.</v>
      </c>
      <c r="U77" s="35" t="str">
        <f>IF(U100&lt;&gt;"",U100*$E77*Data!R$135/1000,".")</f>
        <v>.</v>
      </c>
      <c r="V77" s="35" t="str">
        <f>IF(V100&lt;&gt;"",V100*$E77*Data!S$135/1000,".")</f>
        <v>.</v>
      </c>
      <c r="W77" s="35" t="str">
        <f>IF(W100&lt;&gt;"",W100*$E77*Data!T$135/1000,".")</f>
        <v>.</v>
      </c>
      <c r="X77" s="35" t="str">
        <f>IF(X100&lt;&gt;"",X100*$E77*Data!U$135/1000,".")</f>
        <v>.</v>
      </c>
      <c r="Y77" s="35" t="str">
        <f>IF(Y100&lt;&gt;"",Y100*$E77*Data!V$135/1000,".")</f>
        <v>.</v>
      </c>
      <c r="Z77" s="35" t="str">
        <f>IF(Z100&lt;&gt;"",Z100*$E77*Data!W$135/1000,".")</f>
        <v>.</v>
      </c>
      <c r="AA77" s="35" t="str">
        <f>IF(AA100&lt;&gt;"",AA100*$E77*Data!X$135/1000,".")</f>
        <v>.</v>
      </c>
      <c r="AB77" s="35" t="str">
        <f>IF(AB100&lt;&gt;"",AB100*$E77*Data!Y$135/1000,".")</f>
        <v>.</v>
      </c>
      <c r="AC77" s="35" t="str">
        <f>IF(AC100&lt;&gt;"",AC100*$E77*Data!Z$135/1000,".")</f>
        <v>.</v>
      </c>
      <c r="AD77" s="35" t="str">
        <f>IF(AD100&lt;&gt;"",AD100*$E77*Data!AA$135/1000,".")</f>
        <v>.</v>
      </c>
      <c r="AE77" s="35" t="str">
        <f>IF(AE100&lt;&gt;"",AE100*$E77*Data!AB$135/1000,".")</f>
        <v>.</v>
      </c>
      <c r="AF77" s="35" t="str">
        <f>IF(AF100&lt;&gt;"",AF100*$E77*Data!AC$135/1000,".")</f>
        <v>.</v>
      </c>
      <c r="AG77" s="35" t="str">
        <f>IF(AG100&lt;&gt;"",AG100*$E77*Data!AD$135/1000,".")</f>
        <v>.</v>
      </c>
      <c r="AH77" s="35" t="str">
        <f>IF(AH100&lt;&gt;"",AH100*$E77*Data!AE$135/1000,".")</f>
        <v>.</v>
      </c>
      <c r="AI77" s="35" t="str">
        <f>IF(AI100&lt;&gt;"",AI100*$E77*Data!AF$135/1000,".")</f>
        <v>.</v>
      </c>
      <c r="AJ77" s="35" t="str">
        <f>IF(AJ100&lt;&gt;"",AJ100*$E77*Data!AG$135/1000,".")</f>
        <v>.</v>
      </c>
      <c r="AK77" s="35" t="str">
        <f>IF(AK100&lt;&gt;"",AK100*$E77*Data!AH$135/1000,".")</f>
        <v>.</v>
      </c>
      <c r="AL77" s="3"/>
    </row>
    <row r="78" spans="1:38" hidden="1" outlineLevel="1" x14ac:dyDescent="0.25">
      <c r="A78" s="3"/>
      <c r="B78" s="3"/>
      <c r="C78" s="3"/>
      <c r="D78" s="20" t="str">
        <f t="shared" si="19"/>
        <v>.</v>
      </c>
      <c r="E78" s="28" t="str" cm="1">
        <f t="array" ref="E78">IF(C101&lt;&gt;"&lt;Select&gt;",INDEX(EF_Ar,_xlfn.XMATCH(C101,EF_SI_Ar),_xlfn.XMATCH(D78,EF_Fuel_Ar)),".")</f>
        <v>.</v>
      </c>
      <c r="F78" s="10"/>
      <c r="G78" s="35" t="str">
        <f>IF(G101&lt;&gt;"",G101*$E78*Data!D$135/1000,".")</f>
        <v>.</v>
      </c>
      <c r="H78" s="35" t="str">
        <f>IF(H101&lt;&gt;"",H101*$E78*Data!E$135/1000,".")</f>
        <v>.</v>
      </c>
      <c r="I78" s="35" t="str">
        <f>IF(I101&lt;&gt;"",I101*$E78*Data!F$135/1000,".")</f>
        <v>.</v>
      </c>
      <c r="J78" s="35" t="str">
        <f>IF(J101&lt;&gt;"",J101*$E78*Data!G$135/1000,".")</f>
        <v>.</v>
      </c>
      <c r="K78" s="35" t="str">
        <f>IF(K101&lt;&gt;"",K101*$E78*Data!H$135/1000,".")</f>
        <v>.</v>
      </c>
      <c r="L78" s="35" t="str">
        <f>IF(L101&lt;&gt;"",L101*$E78*Data!I$135/1000,".")</f>
        <v>.</v>
      </c>
      <c r="M78" s="35" t="str">
        <f>IF(M101&lt;&gt;"",M101*$E78*Data!J$135/1000,".")</f>
        <v>.</v>
      </c>
      <c r="N78" s="35" t="str">
        <f>IF(N101&lt;&gt;"",N101*$E78*Data!K$135/1000,".")</f>
        <v>.</v>
      </c>
      <c r="O78" s="35" t="str">
        <f>IF(O101&lt;&gt;"",O101*$E78*Data!L$135/1000,".")</f>
        <v>.</v>
      </c>
      <c r="P78" s="35" t="str">
        <f>IF(P101&lt;&gt;"",P101*$E78*Data!M$135/1000,".")</f>
        <v>.</v>
      </c>
      <c r="Q78" s="35" t="str">
        <f>IF(Q101&lt;&gt;"",Q101*$E78*Data!N$135/1000,".")</f>
        <v>.</v>
      </c>
      <c r="R78" s="35" t="str">
        <f>IF(R101&lt;&gt;"",R101*$E78*Data!O$135/1000,".")</f>
        <v>.</v>
      </c>
      <c r="S78" s="35" t="str">
        <f>IF(S101&lt;&gt;"",S101*$E78*Data!P$135/1000,".")</f>
        <v>.</v>
      </c>
      <c r="T78" s="35" t="str">
        <f>IF(T101&lt;&gt;"",T101*$E78*Data!Q$135/1000,".")</f>
        <v>.</v>
      </c>
      <c r="U78" s="35" t="str">
        <f>IF(U101&lt;&gt;"",U101*$E78*Data!R$135/1000,".")</f>
        <v>.</v>
      </c>
      <c r="V78" s="35" t="str">
        <f>IF(V101&lt;&gt;"",V101*$E78*Data!S$135/1000,".")</f>
        <v>.</v>
      </c>
      <c r="W78" s="35" t="str">
        <f>IF(W101&lt;&gt;"",W101*$E78*Data!T$135/1000,".")</f>
        <v>.</v>
      </c>
      <c r="X78" s="35" t="str">
        <f>IF(X101&lt;&gt;"",X101*$E78*Data!U$135/1000,".")</f>
        <v>.</v>
      </c>
      <c r="Y78" s="35" t="str">
        <f>IF(Y101&lt;&gt;"",Y101*$E78*Data!V$135/1000,".")</f>
        <v>.</v>
      </c>
      <c r="Z78" s="35" t="str">
        <f>IF(Z101&lt;&gt;"",Z101*$E78*Data!W$135/1000,".")</f>
        <v>.</v>
      </c>
      <c r="AA78" s="35" t="str">
        <f>IF(AA101&lt;&gt;"",AA101*$E78*Data!X$135/1000,".")</f>
        <v>.</v>
      </c>
      <c r="AB78" s="35" t="str">
        <f>IF(AB101&lt;&gt;"",AB101*$E78*Data!Y$135/1000,".")</f>
        <v>.</v>
      </c>
      <c r="AC78" s="35" t="str">
        <f>IF(AC101&lt;&gt;"",AC101*$E78*Data!Z$135/1000,".")</f>
        <v>.</v>
      </c>
      <c r="AD78" s="35" t="str">
        <f>IF(AD101&lt;&gt;"",AD101*$E78*Data!AA$135/1000,".")</f>
        <v>.</v>
      </c>
      <c r="AE78" s="35" t="str">
        <f>IF(AE101&lt;&gt;"",AE101*$E78*Data!AB$135/1000,".")</f>
        <v>.</v>
      </c>
      <c r="AF78" s="35" t="str">
        <f>IF(AF101&lt;&gt;"",AF101*$E78*Data!AC$135/1000,".")</f>
        <v>.</v>
      </c>
      <c r="AG78" s="35" t="str">
        <f>IF(AG101&lt;&gt;"",AG101*$E78*Data!AD$135/1000,".")</f>
        <v>.</v>
      </c>
      <c r="AH78" s="35" t="str">
        <f>IF(AH101&lt;&gt;"",AH101*$E78*Data!AE$135/1000,".")</f>
        <v>.</v>
      </c>
      <c r="AI78" s="35" t="str">
        <f>IF(AI101&lt;&gt;"",AI101*$E78*Data!AF$135/1000,".")</f>
        <v>.</v>
      </c>
      <c r="AJ78" s="35" t="str">
        <f>IF(AJ101&lt;&gt;"",AJ101*$E78*Data!AG$135/1000,".")</f>
        <v>.</v>
      </c>
      <c r="AK78" s="35" t="str">
        <f>IF(AK101&lt;&gt;"",AK101*$E78*Data!AH$135/1000,".")</f>
        <v>.</v>
      </c>
      <c r="AL78" s="3"/>
    </row>
    <row r="79" spans="1:38" hidden="1" outlineLevel="1" x14ac:dyDescent="0.25">
      <c r="A79" s="3"/>
      <c r="B79" s="3"/>
      <c r="C79" s="3"/>
      <c r="D79" s="21" t="str">
        <f t="shared" si="19"/>
        <v>.</v>
      </c>
      <c r="E79" s="28" t="str" cm="1">
        <f t="array" ref="E79">IF(C102&lt;&gt;"&lt;Select&gt;",INDEX(EF_Ar,_xlfn.XMATCH(C102,EF_SI_Ar),_xlfn.XMATCH(D79,EF_Fuel_Ar)),".")</f>
        <v>.</v>
      </c>
      <c r="F79" s="10"/>
      <c r="G79" s="35" t="str">
        <f>IF(G102&lt;&gt;"",G102*$E79*Data!D$135/1000,".")</f>
        <v>.</v>
      </c>
      <c r="H79" s="35" t="str">
        <f>IF(H102&lt;&gt;"",H102*$E79*Data!E$135/1000,".")</f>
        <v>.</v>
      </c>
      <c r="I79" s="35" t="str">
        <f>IF(I102&lt;&gt;"",I102*$E79*Data!F$135/1000,".")</f>
        <v>.</v>
      </c>
      <c r="J79" s="35" t="str">
        <f>IF(J102&lt;&gt;"",J102*$E79*Data!G$135/1000,".")</f>
        <v>.</v>
      </c>
      <c r="K79" s="35" t="str">
        <f>IF(K102&lt;&gt;"",K102*$E79*Data!H$135/1000,".")</f>
        <v>.</v>
      </c>
      <c r="L79" s="35" t="str">
        <f>IF(L102&lt;&gt;"",L102*$E79*Data!I$135/1000,".")</f>
        <v>.</v>
      </c>
      <c r="M79" s="35" t="str">
        <f>IF(M102&lt;&gt;"",M102*$E79*Data!J$135/1000,".")</f>
        <v>.</v>
      </c>
      <c r="N79" s="35" t="str">
        <f>IF(N102&lt;&gt;"",N102*$E79*Data!K$135/1000,".")</f>
        <v>.</v>
      </c>
      <c r="O79" s="35" t="str">
        <f>IF(O102&lt;&gt;"",O102*$E79*Data!L$135/1000,".")</f>
        <v>.</v>
      </c>
      <c r="P79" s="35" t="str">
        <f>IF(P102&lt;&gt;"",P102*$E79*Data!M$135/1000,".")</f>
        <v>.</v>
      </c>
      <c r="Q79" s="35" t="str">
        <f>IF(Q102&lt;&gt;"",Q102*$E79*Data!N$135/1000,".")</f>
        <v>.</v>
      </c>
      <c r="R79" s="35" t="str">
        <f>IF(R102&lt;&gt;"",R102*$E79*Data!O$135/1000,".")</f>
        <v>.</v>
      </c>
      <c r="S79" s="35" t="str">
        <f>IF(S102&lt;&gt;"",S102*$E79*Data!P$135/1000,".")</f>
        <v>.</v>
      </c>
      <c r="T79" s="35" t="str">
        <f>IF(T102&lt;&gt;"",T102*$E79*Data!Q$135/1000,".")</f>
        <v>.</v>
      </c>
      <c r="U79" s="35" t="str">
        <f>IF(U102&lt;&gt;"",U102*$E79*Data!R$135/1000,".")</f>
        <v>.</v>
      </c>
      <c r="V79" s="35" t="str">
        <f>IF(V102&lt;&gt;"",V102*$E79*Data!S$135/1000,".")</f>
        <v>.</v>
      </c>
      <c r="W79" s="35" t="str">
        <f>IF(W102&lt;&gt;"",W102*$E79*Data!T$135/1000,".")</f>
        <v>.</v>
      </c>
      <c r="X79" s="35" t="str">
        <f>IF(X102&lt;&gt;"",X102*$E79*Data!U$135/1000,".")</f>
        <v>.</v>
      </c>
      <c r="Y79" s="35" t="str">
        <f>IF(Y102&lt;&gt;"",Y102*$E79*Data!V$135/1000,".")</f>
        <v>.</v>
      </c>
      <c r="Z79" s="35" t="str">
        <f>IF(Z102&lt;&gt;"",Z102*$E79*Data!W$135/1000,".")</f>
        <v>.</v>
      </c>
      <c r="AA79" s="35" t="str">
        <f>IF(AA102&lt;&gt;"",AA102*$E79*Data!X$135/1000,".")</f>
        <v>.</v>
      </c>
      <c r="AB79" s="35" t="str">
        <f>IF(AB102&lt;&gt;"",AB102*$E79*Data!Y$135/1000,".")</f>
        <v>.</v>
      </c>
      <c r="AC79" s="35" t="str">
        <f>IF(AC102&lt;&gt;"",AC102*$E79*Data!Z$135/1000,".")</f>
        <v>.</v>
      </c>
      <c r="AD79" s="35" t="str">
        <f>IF(AD102&lt;&gt;"",AD102*$E79*Data!AA$135/1000,".")</f>
        <v>.</v>
      </c>
      <c r="AE79" s="35" t="str">
        <f>IF(AE102&lt;&gt;"",AE102*$E79*Data!AB$135/1000,".")</f>
        <v>.</v>
      </c>
      <c r="AF79" s="35" t="str">
        <f>IF(AF102&lt;&gt;"",AF102*$E79*Data!AC$135/1000,".")</f>
        <v>.</v>
      </c>
      <c r="AG79" s="35" t="str">
        <f>IF(AG102&lt;&gt;"",AG102*$E79*Data!AD$135/1000,".")</f>
        <v>.</v>
      </c>
      <c r="AH79" s="35" t="str">
        <f>IF(AH102&lt;&gt;"",AH102*$E79*Data!AE$135/1000,".")</f>
        <v>.</v>
      </c>
      <c r="AI79" s="35" t="str">
        <f>IF(AI102&lt;&gt;"",AI102*$E79*Data!AF$135/1000,".")</f>
        <v>.</v>
      </c>
      <c r="AJ79" s="35" t="str">
        <f>IF(AJ102&lt;&gt;"",AJ102*$E79*Data!AG$135/1000,".")</f>
        <v>.</v>
      </c>
      <c r="AK79" s="35" t="str">
        <f>IF(AK102&lt;&gt;"",AK102*$E79*Data!AH$135/1000,".")</f>
        <v>.</v>
      </c>
      <c r="AL79" s="3"/>
    </row>
    <row r="80" spans="1:38" hidden="1" outlineLevel="1" x14ac:dyDescent="0.25">
      <c r="A80" s="3"/>
      <c r="B80" s="3"/>
      <c r="C80" s="3"/>
      <c r="D80" s="10" t="s">
        <v>101</v>
      </c>
      <c r="E80" s="11"/>
      <c r="F80" s="10"/>
      <c r="G80" s="36">
        <f>SUM(G76:G79)</f>
        <v>0</v>
      </c>
      <c r="H80" s="36">
        <f t="shared" ref="H80:AK80" si="20">SUM(H76:H79)</f>
        <v>0</v>
      </c>
      <c r="I80" s="36">
        <f t="shared" si="20"/>
        <v>0</v>
      </c>
      <c r="J80" s="36">
        <f t="shared" si="20"/>
        <v>0</v>
      </c>
      <c r="K80" s="36">
        <f t="shared" si="20"/>
        <v>0</v>
      </c>
      <c r="L80" s="36">
        <f t="shared" si="20"/>
        <v>0</v>
      </c>
      <c r="M80" s="36">
        <f t="shared" si="20"/>
        <v>0</v>
      </c>
      <c r="N80" s="36">
        <f t="shared" si="20"/>
        <v>0</v>
      </c>
      <c r="O80" s="36">
        <f t="shared" si="20"/>
        <v>0</v>
      </c>
      <c r="P80" s="36">
        <f t="shared" si="20"/>
        <v>0</v>
      </c>
      <c r="Q80" s="36">
        <f t="shared" si="20"/>
        <v>0</v>
      </c>
      <c r="R80" s="36">
        <f t="shared" si="20"/>
        <v>0</v>
      </c>
      <c r="S80" s="36">
        <f t="shared" si="20"/>
        <v>0</v>
      </c>
      <c r="T80" s="36">
        <f t="shared" si="20"/>
        <v>0</v>
      </c>
      <c r="U80" s="36">
        <f t="shared" si="20"/>
        <v>0</v>
      </c>
      <c r="V80" s="36">
        <f t="shared" si="20"/>
        <v>0</v>
      </c>
      <c r="W80" s="36">
        <f t="shared" si="20"/>
        <v>0</v>
      </c>
      <c r="X80" s="36">
        <f t="shared" si="20"/>
        <v>0</v>
      </c>
      <c r="Y80" s="36">
        <f t="shared" si="20"/>
        <v>0</v>
      </c>
      <c r="Z80" s="36">
        <f t="shared" si="20"/>
        <v>0</v>
      </c>
      <c r="AA80" s="36">
        <f t="shared" si="20"/>
        <v>0</v>
      </c>
      <c r="AB80" s="36">
        <f t="shared" si="20"/>
        <v>0</v>
      </c>
      <c r="AC80" s="36">
        <f t="shared" si="20"/>
        <v>0</v>
      </c>
      <c r="AD80" s="36">
        <f t="shared" si="20"/>
        <v>0</v>
      </c>
      <c r="AE80" s="36">
        <f t="shared" si="20"/>
        <v>0</v>
      </c>
      <c r="AF80" s="36">
        <f t="shared" si="20"/>
        <v>0</v>
      </c>
      <c r="AG80" s="36">
        <f t="shared" si="20"/>
        <v>0</v>
      </c>
      <c r="AH80" s="36">
        <f t="shared" si="20"/>
        <v>0</v>
      </c>
      <c r="AI80" s="36">
        <f t="shared" si="20"/>
        <v>0</v>
      </c>
      <c r="AJ80" s="36">
        <f t="shared" si="20"/>
        <v>0</v>
      </c>
      <c r="AK80" s="36">
        <f t="shared" si="20"/>
        <v>0</v>
      </c>
      <c r="AL80" s="3"/>
    </row>
    <row r="81" spans="1:38" hidden="1" outlineLevel="1" x14ac:dyDescent="0.25">
      <c r="A81" s="3"/>
      <c r="B81" s="3"/>
      <c r="C81" s="3"/>
      <c r="D81" s="3"/>
      <c r="E81" s="3"/>
      <c r="F81" s="3"/>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
    </row>
    <row r="82" spans="1:38" hidden="1" outlineLevel="1" x14ac:dyDescent="0.25">
      <c r="A82" s="3"/>
      <c r="B82" s="3"/>
      <c r="C82" s="3"/>
      <c r="D82" s="13" t="s">
        <v>85</v>
      </c>
      <c r="E82" s="10"/>
      <c r="F82" s="10"/>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
    </row>
    <row r="83" spans="1:38" hidden="1" outlineLevel="1" x14ac:dyDescent="0.25">
      <c r="A83" s="3"/>
      <c r="B83" s="3"/>
      <c r="C83" s="3"/>
      <c r="D83" s="16" t="str">
        <f t="shared" ref="D83:D86" si="21">IF(D106="&lt;Select&gt;",".",D106)</f>
        <v>.</v>
      </c>
      <c r="E83" s="29" t="str" cm="1">
        <f t="array" ref="E83">IF(C106&lt;&gt;"&lt;Select&gt;",INDEX(EF_Ar,_xlfn.XMATCH(C106,EF_SI_Ar),_xlfn.XMATCH(D83,EF_Fuel_Ar)),".")</f>
        <v>.</v>
      </c>
      <c r="F83" s="6"/>
      <c r="G83" s="37" t="str">
        <f>IF(G106&lt;&gt;"",G106*$E83*Data!D$135/1000,".")</f>
        <v>.</v>
      </c>
      <c r="H83" s="37" t="str">
        <f>IF(H106&lt;&gt;"",H106*$E83*Data!E$135/1000,".")</f>
        <v>.</v>
      </c>
      <c r="I83" s="37" t="str">
        <f>IF(I106&lt;&gt;"",I106*$E83*Data!F$135/1000,".")</f>
        <v>.</v>
      </c>
      <c r="J83" s="37" t="str">
        <f>IF(J106&lt;&gt;"",J106*$E83*Data!G$135/1000,".")</f>
        <v>.</v>
      </c>
      <c r="K83" s="37" t="str">
        <f>IF(K106&lt;&gt;"",K106*$E83*Data!H$135/1000,".")</f>
        <v>.</v>
      </c>
      <c r="L83" s="37" t="str">
        <f>IF(L106&lt;&gt;"",L106*$E83*Data!I$135/1000,".")</f>
        <v>.</v>
      </c>
      <c r="M83" s="37" t="str">
        <f>IF(M106&lt;&gt;"",M106*$E83*Data!J$135/1000,".")</f>
        <v>.</v>
      </c>
      <c r="N83" s="37" t="str">
        <f>IF(N106&lt;&gt;"",N106*$E83*Data!K$135/1000,".")</f>
        <v>.</v>
      </c>
      <c r="O83" s="37" t="str">
        <f>IF(O106&lt;&gt;"",O106*$E83*Data!L$135/1000,".")</f>
        <v>.</v>
      </c>
      <c r="P83" s="37" t="str">
        <f>IF(P106&lt;&gt;"",P106*$E83*Data!M$135/1000,".")</f>
        <v>.</v>
      </c>
      <c r="Q83" s="37" t="str">
        <f>IF(Q106&lt;&gt;"",Q106*$E83*Data!N$135/1000,".")</f>
        <v>.</v>
      </c>
      <c r="R83" s="37" t="str">
        <f>IF(R106&lt;&gt;"",R106*$E83*Data!O$135/1000,".")</f>
        <v>.</v>
      </c>
      <c r="S83" s="37" t="str">
        <f>IF(S106&lt;&gt;"",S106*$E83*Data!P$135/1000,".")</f>
        <v>.</v>
      </c>
      <c r="T83" s="37" t="str">
        <f>IF(T106&lt;&gt;"",T106*$E83*Data!Q$135/1000,".")</f>
        <v>.</v>
      </c>
      <c r="U83" s="37" t="str">
        <f>IF(U106&lt;&gt;"",U106*$E83*Data!R$135/1000,".")</f>
        <v>.</v>
      </c>
      <c r="V83" s="37" t="str">
        <f>IF(V106&lt;&gt;"",V106*$E83*Data!S$135/1000,".")</f>
        <v>.</v>
      </c>
      <c r="W83" s="37" t="str">
        <f>IF(W106&lt;&gt;"",W106*$E83*Data!T$135/1000,".")</f>
        <v>.</v>
      </c>
      <c r="X83" s="37" t="str">
        <f>IF(X106&lt;&gt;"",X106*$E83*Data!U$135/1000,".")</f>
        <v>.</v>
      </c>
      <c r="Y83" s="37" t="str">
        <f>IF(Y106&lt;&gt;"",Y106*$E83*Data!V$135/1000,".")</f>
        <v>.</v>
      </c>
      <c r="Z83" s="37" t="str">
        <f>IF(Z106&lt;&gt;"",Z106*$E83*Data!W$135/1000,".")</f>
        <v>.</v>
      </c>
      <c r="AA83" s="37" t="str">
        <f>IF(AA106&lt;&gt;"",AA106*$E83*Data!X$135/1000,".")</f>
        <v>.</v>
      </c>
      <c r="AB83" s="37" t="str">
        <f>IF(AB106&lt;&gt;"",AB106*$E83*Data!Y$135/1000,".")</f>
        <v>.</v>
      </c>
      <c r="AC83" s="37" t="str">
        <f>IF(AC106&lt;&gt;"",AC106*$E83*Data!Z$135/1000,".")</f>
        <v>.</v>
      </c>
      <c r="AD83" s="37" t="str">
        <f>IF(AD106&lt;&gt;"",AD106*$E83*Data!AA$135/1000,".")</f>
        <v>.</v>
      </c>
      <c r="AE83" s="37" t="str">
        <f>IF(AE106&lt;&gt;"",AE106*$E83*Data!AB$135/1000,".")</f>
        <v>.</v>
      </c>
      <c r="AF83" s="37" t="str">
        <f>IF(AF106&lt;&gt;"",AF106*$E83*Data!AC$135/1000,".")</f>
        <v>.</v>
      </c>
      <c r="AG83" s="37" t="str">
        <f>IF(AG106&lt;&gt;"",AG106*$E83*Data!AD$135/1000,".")</f>
        <v>.</v>
      </c>
      <c r="AH83" s="37" t="str">
        <f>IF(AH106&lt;&gt;"",AH106*$E83*Data!AE$135/1000,".")</f>
        <v>.</v>
      </c>
      <c r="AI83" s="37" t="str">
        <f>IF(AI106&lt;&gt;"",AI106*$E83*Data!AF$135/1000,".")</f>
        <v>.</v>
      </c>
      <c r="AJ83" s="37" t="str">
        <f>IF(AJ106&lt;&gt;"",AJ106*$E83*Data!AG$135/1000,".")</f>
        <v>.</v>
      </c>
      <c r="AK83" s="37" t="str">
        <f>IF(AK106&lt;&gt;"",AK106*$E83*Data!AH$135/1000,".")</f>
        <v>.</v>
      </c>
      <c r="AL83" s="3"/>
    </row>
    <row r="84" spans="1:38" hidden="1" outlineLevel="1" x14ac:dyDescent="0.25">
      <c r="A84" s="3"/>
      <c r="B84" s="3"/>
      <c r="C84" s="3"/>
      <c r="D84" s="17" t="str">
        <f t="shared" si="21"/>
        <v>.</v>
      </c>
      <c r="E84" s="29" t="str" cm="1">
        <f t="array" ref="E84">IF(C107&lt;&gt;"&lt;Select&gt;",INDEX(EF_Ar,_xlfn.XMATCH(C107,EF_SI_Ar),_xlfn.XMATCH(D84,EF_Fuel_Ar)),".")</f>
        <v>.</v>
      </c>
      <c r="F84" s="6"/>
      <c r="G84" s="37" t="str">
        <f>IF(G107&lt;&gt;"",G107*$E84*Data!D$135/1000,".")</f>
        <v>.</v>
      </c>
      <c r="H84" s="37" t="str">
        <f>IF(H107&lt;&gt;"",H107*$E84*Data!E$135/1000,".")</f>
        <v>.</v>
      </c>
      <c r="I84" s="37" t="str">
        <f>IF(I107&lt;&gt;"",I107*$E84*Data!F$135/1000,".")</f>
        <v>.</v>
      </c>
      <c r="J84" s="37" t="str">
        <f>IF(J107&lt;&gt;"",J107*$E84*Data!G$135/1000,".")</f>
        <v>.</v>
      </c>
      <c r="K84" s="37" t="str">
        <f>IF(K107&lt;&gt;"",K107*$E84*Data!H$135/1000,".")</f>
        <v>.</v>
      </c>
      <c r="L84" s="37" t="str">
        <f>IF(L107&lt;&gt;"",L107*$E84*Data!I$135/1000,".")</f>
        <v>.</v>
      </c>
      <c r="M84" s="37" t="str">
        <f>IF(M107&lt;&gt;"",M107*$E84*Data!J$135/1000,".")</f>
        <v>.</v>
      </c>
      <c r="N84" s="37" t="str">
        <f>IF(N107&lt;&gt;"",N107*$E84*Data!K$135/1000,".")</f>
        <v>.</v>
      </c>
      <c r="O84" s="37" t="str">
        <f>IF(O107&lt;&gt;"",O107*$E84*Data!L$135/1000,".")</f>
        <v>.</v>
      </c>
      <c r="P84" s="37" t="str">
        <f>IF(P107&lt;&gt;"",P107*$E84*Data!M$135/1000,".")</f>
        <v>.</v>
      </c>
      <c r="Q84" s="37" t="str">
        <f>IF(Q107&lt;&gt;"",Q107*$E84*Data!N$135/1000,".")</f>
        <v>.</v>
      </c>
      <c r="R84" s="37" t="str">
        <f>IF(R107&lt;&gt;"",R107*$E84*Data!O$135/1000,".")</f>
        <v>.</v>
      </c>
      <c r="S84" s="37" t="str">
        <f>IF(S107&lt;&gt;"",S107*$E84*Data!P$135/1000,".")</f>
        <v>.</v>
      </c>
      <c r="T84" s="37" t="str">
        <f>IF(T107&lt;&gt;"",T107*$E84*Data!Q$135/1000,".")</f>
        <v>.</v>
      </c>
      <c r="U84" s="37" t="str">
        <f>IF(U107&lt;&gt;"",U107*$E84*Data!R$135/1000,".")</f>
        <v>.</v>
      </c>
      <c r="V84" s="37" t="str">
        <f>IF(V107&lt;&gt;"",V107*$E84*Data!S$135/1000,".")</f>
        <v>.</v>
      </c>
      <c r="W84" s="37" t="str">
        <f>IF(W107&lt;&gt;"",W107*$E84*Data!T$135/1000,".")</f>
        <v>.</v>
      </c>
      <c r="X84" s="37" t="str">
        <f>IF(X107&lt;&gt;"",X107*$E84*Data!U$135/1000,".")</f>
        <v>.</v>
      </c>
      <c r="Y84" s="37" t="str">
        <f>IF(Y107&lt;&gt;"",Y107*$E84*Data!V$135/1000,".")</f>
        <v>.</v>
      </c>
      <c r="Z84" s="37" t="str">
        <f>IF(Z107&lt;&gt;"",Z107*$E84*Data!W$135/1000,".")</f>
        <v>.</v>
      </c>
      <c r="AA84" s="37" t="str">
        <f>IF(AA107&lt;&gt;"",AA107*$E84*Data!X$135/1000,".")</f>
        <v>.</v>
      </c>
      <c r="AB84" s="37" t="str">
        <f>IF(AB107&lt;&gt;"",AB107*$E84*Data!Y$135/1000,".")</f>
        <v>.</v>
      </c>
      <c r="AC84" s="37" t="str">
        <f>IF(AC107&lt;&gt;"",AC107*$E84*Data!Z$135/1000,".")</f>
        <v>.</v>
      </c>
      <c r="AD84" s="37" t="str">
        <f>IF(AD107&lt;&gt;"",AD107*$E84*Data!AA$135/1000,".")</f>
        <v>.</v>
      </c>
      <c r="AE84" s="37" t="str">
        <f>IF(AE107&lt;&gt;"",AE107*$E84*Data!AB$135/1000,".")</f>
        <v>.</v>
      </c>
      <c r="AF84" s="37" t="str">
        <f>IF(AF107&lt;&gt;"",AF107*$E84*Data!AC$135/1000,".")</f>
        <v>.</v>
      </c>
      <c r="AG84" s="37" t="str">
        <f>IF(AG107&lt;&gt;"",AG107*$E84*Data!AD$135/1000,".")</f>
        <v>.</v>
      </c>
      <c r="AH84" s="37" t="str">
        <f>IF(AH107&lt;&gt;"",AH107*$E84*Data!AE$135/1000,".")</f>
        <v>.</v>
      </c>
      <c r="AI84" s="37" t="str">
        <f>IF(AI107&lt;&gt;"",AI107*$E84*Data!AF$135/1000,".")</f>
        <v>.</v>
      </c>
      <c r="AJ84" s="37" t="str">
        <f>IF(AJ107&lt;&gt;"",AJ107*$E84*Data!AG$135/1000,".")</f>
        <v>.</v>
      </c>
      <c r="AK84" s="37" t="str">
        <f>IF(AK107&lt;&gt;"",AK107*$E84*Data!AH$135/1000,".")</f>
        <v>.</v>
      </c>
      <c r="AL84" s="3"/>
    </row>
    <row r="85" spans="1:38" hidden="1" outlineLevel="1" x14ac:dyDescent="0.25">
      <c r="A85" s="3"/>
      <c r="B85" s="3"/>
      <c r="C85" s="3"/>
      <c r="D85" s="17" t="str">
        <f t="shared" si="21"/>
        <v>.</v>
      </c>
      <c r="E85" s="29" t="str" cm="1">
        <f t="array" ref="E85">IF(C108&lt;&gt;"&lt;Select&gt;",INDEX(EF_Ar,_xlfn.XMATCH(C108,EF_SI_Ar),_xlfn.XMATCH(D85,EF_Fuel_Ar)),".")</f>
        <v>.</v>
      </c>
      <c r="F85" s="6"/>
      <c r="G85" s="37" t="str">
        <f>IF(G108&lt;&gt;"",G108*$E85*Data!D$135/1000,".")</f>
        <v>.</v>
      </c>
      <c r="H85" s="37" t="str">
        <f>IF(H108&lt;&gt;"",H108*$E85*Data!E$135/1000,".")</f>
        <v>.</v>
      </c>
      <c r="I85" s="37" t="str">
        <f>IF(I108&lt;&gt;"",I108*$E85*Data!F$135/1000,".")</f>
        <v>.</v>
      </c>
      <c r="J85" s="37" t="str">
        <f>IF(J108&lt;&gt;"",J108*$E85*Data!G$135/1000,".")</f>
        <v>.</v>
      </c>
      <c r="K85" s="37" t="str">
        <f>IF(K108&lt;&gt;"",K108*$E85*Data!H$135/1000,".")</f>
        <v>.</v>
      </c>
      <c r="L85" s="37" t="str">
        <f>IF(L108&lt;&gt;"",L108*$E85*Data!I$135/1000,".")</f>
        <v>.</v>
      </c>
      <c r="M85" s="37" t="str">
        <f>IF(M108&lt;&gt;"",M108*$E85*Data!J$135/1000,".")</f>
        <v>.</v>
      </c>
      <c r="N85" s="37" t="str">
        <f>IF(N108&lt;&gt;"",N108*$E85*Data!K$135/1000,".")</f>
        <v>.</v>
      </c>
      <c r="O85" s="37" t="str">
        <f>IF(O108&lt;&gt;"",O108*$E85*Data!L$135/1000,".")</f>
        <v>.</v>
      </c>
      <c r="P85" s="37" t="str">
        <f>IF(P108&lt;&gt;"",P108*$E85*Data!M$135/1000,".")</f>
        <v>.</v>
      </c>
      <c r="Q85" s="37" t="str">
        <f>IF(Q108&lt;&gt;"",Q108*$E85*Data!N$135/1000,".")</f>
        <v>.</v>
      </c>
      <c r="R85" s="37" t="str">
        <f>IF(R108&lt;&gt;"",R108*$E85*Data!O$135/1000,".")</f>
        <v>.</v>
      </c>
      <c r="S85" s="37" t="str">
        <f>IF(S108&lt;&gt;"",S108*$E85*Data!P$135/1000,".")</f>
        <v>.</v>
      </c>
      <c r="T85" s="37" t="str">
        <f>IF(T108&lt;&gt;"",T108*$E85*Data!Q$135/1000,".")</f>
        <v>.</v>
      </c>
      <c r="U85" s="37" t="str">
        <f>IF(U108&lt;&gt;"",U108*$E85*Data!R$135/1000,".")</f>
        <v>.</v>
      </c>
      <c r="V85" s="37" t="str">
        <f>IF(V108&lt;&gt;"",V108*$E85*Data!S$135/1000,".")</f>
        <v>.</v>
      </c>
      <c r="W85" s="37" t="str">
        <f>IF(W108&lt;&gt;"",W108*$E85*Data!T$135/1000,".")</f>
        <v>.</v>
      </c>
      <c r="X85" s="37" t="str">
        <f>IF(X108&lt;&gt;"",X108*$E85*Data!U$135/1000,".")</f>
        <v>.</v>
      </c>
      <c r="Y85" s="37" t="str">
        <f>IF(Y108&lt;&gt;"",Y108*$E85*Data!V$135/1000,".")</f>
        <v>.</v>
      </c>
      <c r="Z85" s="37" t="str">
        <f>IF(Z108&lt;&gt;"",Z108*$E85*Data!W$135/1000,".")</f>
        <v>.</v>
      </c>
      <c r="AA85" s="37" t="str">
        <f>IF(AA108&lt;&gt;"",AA108*$E85*Data!X$135/1000,".")</f>
        <v>.</v>
      </c>
      <c r="AB85" s="37" t="str">
        <f>IF(AB108&lt;&gt;"",AB108*$E85*Data!Y$135/1000,".")</f>
        <v>.</v>
      </c>
      <c r="AC85" s="37" t="str">
        <f>IF(AC108&lt;&gt;"",AC108*$E85*Data!Z$135/1000,".")</f>
        <v>.</v>
      </c>
      <c r="AD85" s="37" t="str">
        <f>IF(AD108&lt;&gt;"",AD108*$E85*Data!AA$135/1000,".")</f>
        <v>.</v>
      </c>
      <c r="AE85" s="37" t="str">
        <f>IF(AE108&lt;&gt;"",AE108*$E85*Data!AB$135/1000,".")</f>
        <v>.</v>
      </c>
      <c r="AF85" s="37" t="str">
        <f>IF(AF108&lt;&gt;"",AF108*$E85*Data!AC$135/1000,".")</f>
        <v>.</v>
      </c>
      <c r="AG85" s="37" t="str">
        <f>IF(AG108&lt;&gt;"",AG108*$E85*Data!AD$135/1000,".")</f>
        <v>.</v>
      </c>
      <c r="AH85" s="37" t="str">
        <f>IF(AH108&lt;&gt;"",AH108*$E85*Data!AE$135/1000,".")</f>
        <v>.</v>
      </c>
      <c r="AI85" s="37" t="str">
        <f>IF(AI108&lt;&gt;"",AI108*$E85*Data!AF$135/1000,".")</f>
        <v>.</v>
      </c>
      <c r="AJ85" s="37" t="str">
        <f>IF(AJ108&lt;&gt;"",AJ108*$E85*Data!AG$135/1000,".")</f>
        <v>.</v>
      </c>
      <c r="AK85" s="37" t="str">
        <f>IF(AK108&lt;&gt;"",AK108*$E85*Data!AH$135/1000,".")</f>
        <v>.</v>
      </c>
      <c r="AL85" s="3"/>
    </row>
    <row r="86" spans="1:38" hidden="1" outlineLevel="1" x14ac:dyDescent="0.25">
      <c r="A86" s="3"/>
      <c r="B86" s="3"/>
      <c r="C86" s="3"/>
      <c r="D86" s="18" t="str">
        <f t="shared" si="21"/>
        <v>.</v>
      </c>
      <c r="E86" s="29" t="str" cm="1">
        <f t="array" ref="E86">IF(C109&lt;&gt;"&lt;Select&gt;",INDEX(EF_Ar,_xlfn.XMATCH(C109,EF_SI_Ar),_xlfn.XMATCH(D86,EF_Fuel_Ar)),".")</f>
        <v>.</v>
      </c>
      <c r="F86" s="6"/>
      <c r="G86" s="37" t="str">
        <f>IF(G109&lt;&gt;"",G109*$E86*Data!D$135/1000,".")</f>
        <v>.</v>
      </c>
      <c r="H86" s="37" t="str">
        <f>IF(H109&lt;&gt;"",H109*$E86*Data!E$135/1000,".")</f>
        <v>.</v>
      </c>
      <c r="I86" s="37" t="str">
        <f>IF(I109&lt;&gt;"",I109*$E86*Data!F$135/1000,".")</f>
        <v>.</v>
      </c>
      <c r="J86" s="37" t="str">
        <f>IF(J109&lt;&gt;"",J109*$E86*Data!G$135/1000,".")</f>
        <v>.</v>
      </c>
      <c r="K86" s="37" t="str">
        <f>IF(K109&lt;&gt;"",K109*$E86*Data!H$135/1000,".")</f>
        <v>.</v>
      </c>
      <c r="L86" s="37" t="str">
        <f>IF(L109&lt;&gt;"",L109*$E86*Data!I$135/1000,".")</f>
        <v>.</v>
      </c>
      <c r="M86" s="37" t="str">
        <f>IF(M109&lt;&gt;"",M109*$E86*Data!J$135/1000,".")</f>
        <v>.</v>
      </c>
      <c r="N86" s="37" t="str">
        <f>IF(N109&lt;&gt;"",N109*$E86*Data!K$135/1000,".")</f>
        <v>.</v>
      </c>
      <c r="O86" s="37" t="str">
        <f>IF(O109&lt;&gt;"",O109*$E86*Data!L$135/1000,".")</f>
        <v>.</v>
      </c>
      <c r="P86" s="37" t="str">
        <f>IF(P109&lt;&gt;"",P109*$E86*Data!M$135/1000,".")</f>
        <v>.</v>
      </c>
      <c r="Q86" s="37" t="str">
        <f>IF(Q109&lt;&gt;"",Q109*$E86*Data!N$135/1000,".")</f>
        <v>.</v>
      </c>
      <c r="R86" s="37" t="str">
        <f>IF(R109&lt;&gt;"",R109*$E86*Data!O$135/1000,".")</f>
        <v>.</v>
      </c>
      <c r="S86" s="37" t="str">
        <f>IF(S109&lt;&gt;"",S109*$E86*Data!P$135/1000,".")</f>
        <v>.</v>
      </c>
      <c r="T86" s="37" t="str">
        <f>IF(T109&lt;&gt;"",T109*$E86*Data!Q$135/1000,".")</f>
        <v>.</v>
      </c>
      <c r="U86" s="37" t="str">
        <f>IF(U109&lt;&gt;"",U109*$E86*Data!R$135/1000,".")</f>
        <v>.</v>
      </c>
      <c r="V86" s="37" t="str">
        <f>IF(V109&lt;&gt;"",V109*$E86*Data!S$135/1000,".")</f>
        <v>.</v>
      </c>
      <c r="W86" s="37" t="str">
        <f>IF(W109&lt;&gt;"",W109*$E86*Data!T$135/1000,".")</f>
        <v>.</v>
      </c>
      <c r="X86" s="37" t="str">
        <f>IF(X109&lt;&gt;"",X109*$E86*Data!U$135/1000,".")</f>
        <v>.</v>
      </c>
      <c r="Y86" s="37" t="str">
        <f>IF(Y109&lt;&gt;"",Y109*$E86*Data!V$135/1000,".")</f>
        <v>.</v>
      </c>
      <c r="Z86" s="37" t="str">
        <f>IF(Z109&lt;&gt;"",Z109*$E86*Data!W$135/1000,".")</f>
        <v>.</v>
      </c>
      <c r="AA86" s="37" t="str">
        <f>IF(AA109&lt;&gt;"",AA109*$E86*Data!X$135/1000,".")</f>
        <v>.</v>
      </c>
      <c r="AB86" s="37" t="str">
        <f>IF(AB109&lt;&gt;"",AB109*$E86*Data!Y$135/1000,".")</f>
        <v>.</v>
      </c>
      <c r="AC86" s="37" t="str">
        <f>IF(AC109&lt;&gt;"",AC109*$E86*Data!Z$135/1000,".")</f>
        <v>.</v>
      </c>
      <c r="AD86" s="37" t="str">
        <f>IF(AD109&lt;&gt;"",AD109*$E86*Data!AA$135/1000,".")</f>
        <v>.</v>
      </c>
      <c r="AE86" s="37" t="str">
        <f>IF(AE109&lt;&gt;"",AE109*$E86*Data!AB$135/1000,".")</f>
        <v>.</v>
      </c>
      <c r="AF86" s="37" t="str">
        <f>IF(AF109&lt;&gt;"",AF109*$E86*Data!AC$135/1000,".")</f>
        <v>.</v>
      </c>
      <c r="AG86" s="37" t="str">
        <f>IF(AG109&lt;&gt;"",AG109*$E86*Data!AD$135/1000,".")</f>
        <v>.</v>
      </c>
      <c r="AH86" s="37" t="str">
        <f>IF(AH109&lt;&gt;"",AH109*$E86*Data!AE$135/1000,".")</f>
        <v>.</v>
      </c>
      <c r="AI86" s="37" t="str">
        <f>IF(AI109&lt;&gt;"",AI109*$E86*Data!AF$135/1000,".")</f>
        <v>.</v>
      </c>
      <c r="AJ86" s="37" t="str">
        <f>IF(AJ109&lt;&gt;"",AJ109*$E86*Data!AG$135/1000,".")</f>
        <v>.</v>
      </c>
      <c r="AK86" s="37" t="str">
        <f>IF(AK109&lt;&gt;"",AK109*$E86*Data!AH$135/1000,".")</f>
        <v>.</v>
      </c>
      <c r="AL86" s="3"/>
    </row>
    <row r="87" spans="1:38" hidden="1" outlineLevel="1" x14ac:dyDescent="0.25">
      <c r="A87" s="3"/>
      <c r="B87" s="3"/>
      <c r="C87" s="3"/>
      <c r="D87" s="6" t="s">
        <v>102</v>
      </c>
      <c r="E87" s="14"/>
      <c r="F87" s="6"/>
      <c r="G87" s="38">
        <f>SUM(G83:G86)</f>
        <v>0</v>
      </c>
      <c r="H87" s="38">
        <f t="shared" ref="H87:AK87" si="22">SUM(H83:H86)</f>
        <v>0</v>
      </c>
      <c r="I87" s="38">
        <f t="shared" si="22"/>
        <v>0</v>
      </c>
      <c r="J87" s="38">
        <f t="shared" si="22"/>
        <v>0</v>
      </c>
      <c r="K87" s="38">
        <f t="shared" si="22"/>
        <v>0</v>
      </c>
      <c r="L87" s="38">
        <f t="shared" si="22"/>
        <v>0</v>
      </c>
      <c r="M87" s="38">
        <f t="shared" si="22"/>
        <v>0</v>
      </c>
      <c r="N87" s="38">
        <f t="shared" si="22"/>
        <v>0</v>
      </c>
      <c r="O87" s="38">
        <f t="shared" si="22"/>
        <v>0</v>
      </c>
      <c r="P87" s="38">
        <f t="shared" si="22"/>
        <v>0</v>
      </c>
      <c r="Q87" s="38">
        <f t="shared" si="22"/>
        <v>0</v>
      </c>
      <c r="R87" s="38">
        <f t="shared" si="22"/>
        <v>0</v>
      </c>
      <c r="S87" s="38">
        <f t="shared" si="22"/>
        <v>0</v>
      </c>
      <c r="T87" s="38">
        <f t="shared" si="22"/>
        <v>0</v>
      </c>
      <c r="U87" s="38">
        <f t="shared" si="22"/>
        <v>0</v>
      </c>
      <c r="V87" s="38">
        <f t="shared" si="22"/>
        <v>0</v>
      </c>
      <c r="W87" s="38">
        <f t="shared" si="22"/>
        <v>0</v>
      </c>
      <c r="X87" s="38">
        <f t="shared" si="22"/>
        <v>0</v>
      </c>
      <c r="Y87" s="38">
        <f t="shared" si="22"/>
        <v>0</v>
      </c>
      <c r="Z87" s="38">
        <f t="shared" si="22"/>
        <v>0</v>
      </c>
      <c r="AA87" s="38">
        <f t="shared" si="22"/>
        <v>0</v>
      </c>
      <c r="AB87" s="38">
        <f t="shared" si="22"/>
        <v>0</v>
      </c>
      <c r="AC87" s="38">
        <f t="shared" si="22"/>
        <v>0</v>
      </c>
      <c r="AD87" s="38">
        <f t="shared" si="22"/>
        <v>0</v>
      </c>
      <c r="AE87" s="38">
        <f t="shared" si="22"/>
        <v>0</v>
      </c>
      <c r="AF87" s="38">
        <f t="shared" si="22"/>
        <v>0</v>
      </c>
      <c r="AG87" s="38">
        <f t="shared" si="22"/>
        <v>0</v>
      </c>
      <c r="AH87" s="38">
        <f t="shared" si="22"/>
        <v>0</v>
      </c>
      <c r="AI87" s="38">
        <f t="shared" si="22"/>
        <v>0</v>
      </c>
      <c r="AJ87" s="38">
        <f t="shared" si="22"/>
        <v>0</v>
      </c>
      <c r="AK87" s="38">
        <f t="shared" si="22"/>
        <v>0</v>
      </c>
      <c r="AL87" s="3"/>
    </row>
    <row r="88" spans="1:38" hidden="1" outlineLevel="1" x14ac:dyDescent="0.25">
      <c r="A88" s="3"/>
      <c r="B88" s="3"/>
      <c r="C88" s="3"/>
      <c r="D88" s="3"/>
      <c r="E88" s="3"/>
      <c r="F88" s="3"/>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
    </row>
    <row r="89" spans="1:38" hidden="1" outlineLevel="1" x14ac:dyDescent="0.25">
      <c r="A89" s="3"/>
      <c r="B89" s="3"/>
      <c r="C89" s="3"/>
      <c r="D89" s="3" t="s">
        <v>103</v>
      </c>
      <c r="E89" s="3"/>
      <c r="F89" s="3"/>
      <c r="G89" s="31">
        <f t="shared" ref="G89:AK89" si="23">G80-G87</f>
        <v>0</v>
      </c>
      <c r="H89" s="31">
        <f t="shared" si="23"/>
        <v>0</v>
      </c>
      <c r="I89" s="31">
        <f t="shared" si="23"/>
        <v>0</v>
      </c>
      <c r="J89" s="31">
        <f t="shared" si="23"/>
        <v>0</v>
      </c>
      <c r="K89" s="31">
        <f t="shared" si="23"/>
        <v>0</v>
      </c>
      <c r="L89" s="31">
        <f t="shared" si="23"/>
        <v>0</v>
      </c>
      <c r="M89" s="31">
        <f t="shared" si="23"/>
        <v>0</v>
      </c>
      <c r="N89" s="31">
        <f t="shared" si="23"/>
        <v>0</v>
      </c>
      <c r="O89" s="31">
        <f t="shared" si="23"/>
        <v>0</v>
      </c>
      <c r="P89" s="31">
        <f t="shared" si="23"/>
        <v>0</v>
      </c>
      <c r="Q89" s="31">
        <f t="shared" si="23"/>
        <v>0</v>
      </c>
      <c r="R89" s="31">
        <f t="shared" si="23"/>
        <v>0</v>
      </c>
      <c r="S89" s="31">
        <f t="shared" si="23"/>
        <v>0</v>
      </c>
      <c r="T89" s="31">
        <f t="shared" si="23"/>
        <v>0</v>
      </c>
      <c r="U89" s="31">
        <f t="shared" si="23"/>
        <v>0</v>
      </c>
      <c r="V89" s="31">
        <f t="shared" si="23"/>
        <v>0</v>
      </c>
      <c r="W89" s="31">
        <f t="shared" si="23"/>
        <v>0</v>
      </c>
      <c r="X89" s="31">
        <f t="shared" si="23"/>
        <v>0</v>
      </c>
      <c r="Y89" s="31">
        <f t="shared" si="23"/>
        <v>0</v>
      </c>
      <c r="Z89" s="31">
        <f t="shared" si="23"/>
        <v>0</v>
      </c>
      <c r="AA89" s="31">
        <f t="shared" si="23"/>
        <v>0</v>
      </c>
      <c r="AB89" s="31">
        <f t="shared" si="23"/>
        <v>0</v>
      </c>
      <c r="AC89" s="31">
        <f t="shared" si="23"/>
        <v>0</v>
      </c>
      <c r="AD89" s="31">
        <f t="shared" si="23"/>
        <v>0</v>
      </c>
      <c r="AE89" s="31">
        <f t="shared" si="23"/>
        <v>0</v>
      </c>
      <c r="AF89" s="31">
        <f t="shared" si="23"/>
        <v>0</v>
      </c>
      <c r="AG89" s="31">
        <f t="shared" si="23"/>
        <v>0</v>
      </c>
      <c r="AH89" s="31">
        <f t="shared" si="23"/>
        <v>0</v>
      </c>
      <c r="AI89" s="31">
        <f t="shared" si="23"/>
        <v>0</v>
      </c>
      <c r="AJ89" s="31">
        <f t="shared" si="23"/>
        <v>0</v>
      </c>
      <c r="AK89" s="31">
        <f t="shared" si="23"/>
        <v>0</v>
      </c>
      <c r="AL89" s="3"/>
    </row>
    <row r="90" spans="1:38" collapsed="1" x14ac:dyDescent="0.25">
      <c r="A90" s="3"/>
      <c r="B90" s="3"/>
      <c r="C90" s="3"/>
      <c r="D90" s="3"/>
      <c r="E90" s="3"/>
      <c r="F90" s="3"/>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
    </row>
    <row r="91" spans="1:38" x14ac:dyDescent="0.25">
      <c r="A91" s="3"/>
      <c r="B91" s="3"/>
      <c r="C91" s="3"/>
      <c r="D91" s="9" t="s">
        <v>104</v>
      </c>
      <c r="E91" s="3"/>
      <c r="F91" s="3"/>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
    </row>
    <row r="92" spans="1:38" x14ac:dyDescent="0.25">
      <c r="A92" s="3"/>
      <c r="B92" s="3"/>
      <c r="C92" s="3"/>
      <c r="D92" s="10" t="s">
        <v>105</v>
      </c>
      <c r="E92" s="10"/>
      <c r="F92" s="10"/>
      <c r="G92" s="36">
        <f t="shared" ref="G92:AK92" si="24">SUM(G39,G60,G80)</f>
        <v>0</v>
      </c>
      <c r="H92" s="36">
        <f t="shared" si="24"/>
        <v>0</v>
      </c>
      <c r="I92" s="36">
        <f t="shared" si="24"/>
        <v>0</v>
      </c>
      <c r="J92" s="36">
        <f t="shared" si="24"/>
        <v>0</v>
      </c>
      <c r="K92" s="36">
        <f t="shared" si="24"/>
        <v>0</v>
      </c>
      <c r="L92" s="36">
        <f t="shared" si="24"/>
        <v>0</v>
      </c>
      <c r="M92" s="36">
        <f t="shared" si="24"/>
        <v>0</v>
      </c>
      <c r="N92" s="36">
        <f t="shared" si="24"/>
        <v>0</v>
      </c>
      <c r="O92" s="36">
        <f t="shared" si="24"/>
        <v>0</v>
      </c>
      <c r="P92" s="36">
        <f t="shared" si="24"/>
        <v>0</v>
      </c>
      <c r="Q92" s="36">
        <f t="shared" si="24"/>
        <v>0</v>
      </c>
      <c r="R92" s="36">
        <f t="shared" si="24"/>
        <v>0</v>
      </c>
      <c r="S92" s="36">
        <f t="shared" si="24"/>
        <v>0</v>
      </c>
      <c r="T92" s="36">
        <f t="shared" si="24"/>
        <v>0</v>
      </c>
      <c r="U92" s="36">
        <f t="shared" si="24"/>
        <v>0</v>
      </c>
      <c r="V92" s="36">
        <f t="shared" si="24"/>
        <v>0</v>
      </c>
      <c r="W92" s="36">
        <f t="shared" si="24"/>
        <v>0</v>
      </c>
      <c r="X92" s="36">
        <f t="shared" si="24"/>
        <v>0</v>
      </c>
      <c r="Y92" s="36">
        <f t="shared" si="24"/>
        <v>0</v>
      </c>
      <c r="Z92" s="36">
        <f t="shared" si="24"/>
        <v>0</v>
      </c>
      <c r="AA92" s="36">
        <f t="shared" si="24"/>
        <v>0</v>
      </c>
      <c r="AB92" s="36">
        <f t="shared" si="24"/>
        <v>0</v>
      </c>
      <c r="AC92" s="36">
        <f t="shared" si="24"/>
        <v>0</v>
      </c>
      <c r="AD92" s="36">
        <f t="shared" si="24"/>
        <v>0</v>
      </c>
      <c r="AE92" s="36">
        <f t="shared" si="24"/>
        <v>0</v>
      </c>
      <c r="AF92" s="36">
        <f t="shared" si="24"/>
        <v>0</v>
      </c>
      <c r="AG92" s="36">
        <f t="shared" si="24"/>
        <v>0</v>
      </c>
      <c r="AH92" s="36">
        <f t="shared" si="24"/>
        <v>0</v>
      </c>
      <c r="AI92" s="36">
        <f t="shared" si="24"/>
        <v>0</v>
      </c>
      <c r="AJ92" s="36">
        <f t="shared" si="24"/>
        <v>0</v>
      </c>
      <c r="AK92" s="36">
        <f t="shared" si="24"/>
        <v>0</v>
      </c>
      <c r="AL92" s="3"/>
    </row>
    <row r="93" spans="1:38" x14ac:dyDescent="0.25">
      <c r="A93" s="3"/>
      <c r="B93" s="3"/>
      <c r="C93" s="3"/>
      <c r="D93" s="6" t="s">
        <v>106</v>
      </c>
      <c r="E93" s="6"/>
      <c r="F93" s="6"/>
      <c r="G93" s="38">
        <f>SUM(G48,G69,G87)</f>
        <v>0</v>
      </c>
      <c r="H93" s="38">
        <f t="shared" ref="H93:AK93" si="25">SUM(H48,H69,H87)</f>
        <v>0</v>
      </c>
      <c r="I93" s="38">
        <f t="shared" si="25"/>
        <v>0</v>
      </c>
      <c r="J93" s="38">
        <f t="shared" si="25"/>
        <v>0</v>
      </c>
      <c r="K93" s="38">
        <f t="shared" si="25"/>
        <v>0</v>
      </c>
      <c r="L93" s="38">
        <f t="shared" si="25"/>
        <v>0</v>
      </c>
      <c r="M93" s="38">
        <f t="shared" si="25"/>
        <v>0</v>
      </c>
      <c r="N93" s="38">
        <f t="shared" si="25"/>
        <v>0</v>
      </c>
      <c r="O93" s="38">
        <f t="shared" si="25"/>
        <v>0</v>
      </c>
      <c r="P93" s="38">
        <f t="shared" si="25"/>
        <v>0</v>
      </c>
      <c r="Q93" s="38">
        <f t="shared" si="25"/>
        <v>0</v>
      </c>
      <c r="R93" s="38">
        <f t="shared" si="25"/>
        <v>0</v>
      </c>
      <c r="S93" s="38">
        <f t="shared" si="25"/>
        <v>0</v>
      </c>
      <c r="T93" s="38">
        <f t="shared" si="25"/>
        <v>0</v>
      </c>
      <c r="U93" s="38">
        <f t="shared" si="25"/>
        <v>0</v>
      </c>
      <c r="V93" s="38">
        <f t="shared" si="25"/>
        <v>0</v>
      </c>
      <c r="W93" s="38">
        <f t="shared" si="25"/>
        <v>0</v>
      </c>
      <c r="X93" s="38">
        <f t="shared" si="25"/>
        <v>0</v>
      </c>
      <c r="Y93" s="38">
        <f t="shared" si="25"/>
        <v>0</v>
      </c>
      <c r="Z93" s="38">
        <f t="shared" si="25"/>
        <v>0</v>
      </c>
      <c r="AA93" s="38">
        <f t="shared" si="25"/>
        <v>0</v>
      </c>
      <c r="AB93" s="38">
        <f t="shared" si="25"/>
        <v>0</v>
      </c>
      <c r="AC93" s="38">
        <f t="shared" si="25"/>
        <v>0</v>
      </c>
      <c r="AD93" s="38">
        <f t="shared" si="25"/>
        <v>0</v>
      </c>
      <c r="AE93" s="38">
        <f t="shared" si="25"/>
        <v>0</v>
      </c>
      <c r="AF93" s="38">
        <f t="shared" si="25"/>
        <v>0</v>
      </c>
      <c r="AG93" s="38">
        <f t="shared" si="25"/>
        <v>0</v>
      </c>
      <c r="AH93" s="38">
        <f t="shared" si="25"/>
        <v>0</v>
      </c>
      <c r="AI93" s="38">
        <f t="shared" si="25"/>
        <v>0</v>
      </c>
      <c r="AJ93" s="38">
        <f t="shared" si="25"/>
        <v>0</v>
      </c>
      <c r="AK93" s="38">
        <f t="shared" si="25"/>
        <v>0</v>
      </c>
      <c r="AL93" s="3"/>
    </row>
    <row r="94" spans="1:38" x14ac:dyDescent="0.25">
      <c r="A94" s="33"/>
      <c r="B94" s="33"/>
      <c r="C94" s="33"/>
      <c r="D94" s="3" t="s">
        <v>107</v>
      </c>
      <c r="E94" s="33"/>
      <c r="F94" s="33"/>
      <c r="G94" s="39">
        <f>G92-G93</f>
        <v>0</v>
      </c>
      <c r="H94" s="39">
        <f t="shared" ref="H94:AK94" si="26">H92-H93</f>
        <v>0</v>
      </c>
      <c r="I94" s="39">
        <f t="shared" si="26"/>
        <v>0</v>
      </c>
      <c r="J94" s="39">
        <f t="shared" si="26"/>
        <v>0</v>
      </c>
      <c r="K94" s="39">
        <f t="shared" si="26"/>
        <v>0</v>
      </c>
      <c r="L94" s="39">
        <f t="shared" si="26"/>
        <v>0</v>
      </c>
      <c r="M94" s="39">
        <f t="shared" si="26"/>
        <v>0</v>
      </c>
      <c r="N94" s="39">
        <f t="shared" si="26"/>
        <v>0</v>
      </c>
      <c r="O94" s="39">
        <f t="shared" si="26"/>
        <v>0</v>
      </c>
      <c r="P94" s="39">
        <f t="shared" si="26"/>
        <v>0</v>
      </c>
      <c r="Q94" s="39">
        <f t="shared" si="26"/>
        <v>0</v>
      </c>
      <c r="R94" s="39">
        <f t="shared" si="26"/>
        <v>0</v>
      </c>
      <c r="S94" s="39">
        <f t="shared" si="26"/>
        <v>0</v>
      </c>
      <c r="T94" s="39">
        <f t="shared" si="26"/>
        <v>0</v>
      </c>
      <c r="U94" s="39">
        <f t="shared" si="26"/>
        <v>0</v>
      </c>
      <c r="V94" s="39">
        <f t="shared" si="26"/>
        <v>0</v>
      </c>
      <c r="W94" s="39">
        <f t="shared" si="26"/>
        <v>0</v>
      </c>
      <c r="X94" s="39">
        <f t="shared" si="26"/>
        <v>0</v>
      </c>
      <c r="Y94" s="39">
        <f t="shared" si="26"/>
        <v>0</v>
      </c>
      <c r="Z94" s="39">
        <f t="shared" si="26"/>
        <v>0</v>
      </c>
      <c r="AA94" s="39">
        <f t="shared" si="26"/>
        <v>0</v>
      </c>
      <c r="AB94" s="39">
        <f t="shared" si="26"/>
        <v>0</v>
      </c>
      <c r="AC94" s="39">
        <f t="shared" si="26"/>
        <v>0</v>
      </c>
      <c r="AD94" s="39">
        <f t="shared" si="26"/>
        <v>0</v>
      </c>
      <c r="AE94" s="39">
        <f t="shared" si="26"/>
        <v>0</v>
      </c>
      <c r="AF94" s="39">
        <f t="shared" si="26"/>
        <v>0</v>
      </c>
      <c r="AG94" s="39">
        <f t="shared" si="26"/>
        <v>0</v>
      </c>
      <c r="AH94" s="39">
        <f t="shared" si="26"/>
        <v>0</v>
      </c>
      <c r="AI94" s="39">
        <f t="shared" si="26"/>
        <v>0</v>
      </c>
      <c r="AJ94" s="39">
        <f t="shared" si="26"/>
        <v>0</v>
      </c>
      <c r="AK94" s="39">
        <f t="shared" si="26"/>
        <v>0</v>
      </c>
      <c r="AL94" s="3"/>
    </row>
    <row r="95" spans="1:38" x14ac:dyDescent="0.25">
      <c r="A95" s="3"/>
      <c r="B95" s="3"/>
      <c r="C95" s="3"/>
      <c r="D95" s="3"/>
      <c r="E95" s="3"/>
      <c r="F95" s="3"/>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3"/>
    </row>
    <row r="96" spans="1:38" ht="18.75" x14ac:dyDescent="0.3">
      <c r="A96" s="3"/>
      <c r="B96" s="3"/>
      <c r="C96" s="3"/>
      <c r="D96" s="8" t="s">
        <v>108</v>
      </c>
      <c r="E96" s="3"/>
      <c r="F96" s="3"/>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3"/>
    </row>
    <row r="97" spans="1:38" x14ac:dyDescent="0.25">
      <c r="A97" s="3"/>
      <c r="B97" s="3"/>
      <c r="C97" s="9" t="s">
        <v>109</v>
      </c>
      <c r="D97" s="9" t="s">
        <v>99</v>
      </c>
      <c r="E97" s="9"/>
      <c r="F97" s="9"/>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3"/>
    </row>
    <row r="98" spans="1:38" x14ac:dyDescent="0.25">
      <c r="A98" s="3"/>
      <c r="B98" s="3" t="s">
        <v>110</v>
      </c>
      <c r="C98" s="3"/>
      <c r="D98" s="12" t="s">
        <v>82</v>
      </c>
      <c r="E98" s="10" t="s">
        <v>83</v>
      </c>
      <c r="F98" s="3"/>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3"/>
    </row>
    <row r="99" spans="1:38" x14ac:dyDescent="0.25">
      <c r="A99" s="41">
        <f>IF(ISERROR(_xlfn.XMATCH(D99,Fuel_Opex_Type2_PP_Ar)),1,0)</f>
        <v>0</v>
      </c>
      <c r="B99" s="141" t="str">
        <f>IF($D99&lt;&gt;"&lt;Select&gt;",IF($C99&lt;&gt;"&lt;Select&gt;",IF(ISERROR(_xlfn.XMATCH($C99,INDEX(Fuel_List_Ar,_xlfn.XMATCH($D99,Fuel_List_Ar)):INDEX(Forbidden_fuel_unit_Right_Ar,_xlfn.XMATCH($D99,Fuel_List_Ar)))),"OK","Wrong unit"),"Unit missing"),".")</f>
        <v>.</v>
      </c>
      <c r="C99" s="54" t="s">
        <v>48</v>
      </c>
      <c r="D99" s="54" t="s">
        <v>94</v>
      </c>
      <c r="E99" s="55"/>
      <c r="F99" s="3"/>
      <c r="G99" s="56"/>
      <c r="H99" s="281"/>
      <c r="I99" s="281"/>
      <c r="J99" s="281"/>
      <c r="K99" s="281"/>
      <c r="L99" s="281"/>
      <c r="M99" s="281"/>
      <c r="N99" s="281"/>
      <c r="O99" s="281"/>
      <c r="P99" s="281"/>
      <c r="Q99" s="281"/>
      <c r="R99" s="281"/>
      <c r="S99" s="281"/>
      <c r="T99" s="281"/>
      <c r="U99" s="281"/>
      <c r="V99" s="216"/>
      <c r="W99" s="216"/>
      <c r="X99" s="216"/>
      <c r="Y99" s="216"/>
      <c r="Z99" s="216"/>
      <c r="AA99" s="216"/>
      <c r="AB99" s="216"/>
      <c r="AC99" s="216"/>
      <c r="AD99" s="216"/>
      <c r="AE99" s="216"/>
      <c r="AF99" s="216"/>
      <c r="AG99" s="216"/>
      <c r="AH99" s="216"/>
      <c r="AI99" s="216"/>
      <c r="AJ99" s="216"/>
      <c r="AK99" s="216"/>
      <c r="AL99" s="3"/>
    </row>
    <row r="100" spans="1:38" x14ac:dyDescent="0.25">
      <c r="A100" s="41">
        <f>IF(ISERROR(_xlfn.XMATCH(D100,Fuel_Opex_Type2_PP_Ar)),1,0)</f>
        <v>0</v>
      </c>
      <c r="B100" s="141" t="str">
        <f>IF($D100&lt;&gt;"&lt;Select&gt;",IF($C100&lt;&gt;"&lt;Select&gt;",IF(ISERROR(_xlfn.XMATCH($C100,INDEX(Fuel_List_Ar,_xlfn.XMATCH($D100,Fuel_List_Ar)):INDEX(Forbidden_fuel_unit_Right_Ar,_xlfn.XMATCH($D100,Fuel_List_Ar)))),"OK","Wrong unit"),"Unit missing"),".")</f>
        <v>.</v>
      </c>
      <c r="C100" s="54" t="s">
        <v>94</v>
      </c>
      <c r="D100" s="54" t="s">
        <v>94</v>
      </c>
      <c r="E100" s="55"/>
      <c r="F100" s="3"/>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3"/>
    </row>
    <row r="101" spans="1:38" x14ac:dyDescent="0.25">
      <c r="A101" s="41">
        <f>IF(ISERROR(_xlfn.XMATCH(D101,Fuel_Opex_Type2_PP_Ar)),1,0)</f>
        <v>0</v>
      </c>
      <c r="B101" s="141" t="str">
        <f>IF($D101&lt;&gt;"&lt;Select&gt;",IF($C101&lt;&gt;"&lt;Select&gt;",IF(ISERROR(_xlfn.XMATCH($C101,INDEX(Fuel_List_Ar,_xlfn.XMATCH($D101,Fuel_List_Ar)):INDEX(Forbidden_fuel_unit_Right_Ar,_xlfn.XMATCH($D101,Fuel_List_Ar)))),"OK","Wrong unit"),"Unit missing"),".")</f>
        <v>.</v>
      </c>
      <c r="C101" s="54" t="s">
        <v>94</v>
      </c>
      <c r="D101" s="54" t="s">
        <v>94</v>
      </c>
      <c r="E101" s="55"/>
      <c r="F101" s="3"/>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3"/>
    </row>
    <row r="102" spans="1:38" x14ac:dyDescent="0.25">
      <c r="A102" s="41">
        <f>IF(ISERROR(_xlfn.XMATCH(D102,Fuel_Opex_Type2_PP_Ar)),1,0)</f>
        <v>0</v>
      </c>
      <c r="B102" s="141" t="str">
        <f>IF($D102&lt;&gt;"&lt;Select&gt;",IF($C102&lt;&gt;"&lt;Select&gt;",IF(ISERROR(_xlfn.XMATCH($C102,INDEX(Fuel_List_Ar,_xlfn.XMATCH($D102,Fuel_List_Ar)):INDEX(Forbidden_fuel_unit_Right_Ar,_xlfn.XMATCH($D102,Fuel_List_Ar)))),"OK","Wrong unit"),"Unit missing"),".")</f>
        <v>.</v>
      </c>
      <c r="C102" s="54" t="s">
        <v>94</v>
      </c>
      <c r="D102" s="54" t="s">
        <v>94</v>
      </c>
      <c r="E102" s="55"/>
      <c r="F102" s="3"/>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3"/>
    </row>
    <row r="103" spans="1:38" x14ac:dyDescent="0.25">
      <c r="A103" s="41"/>
      <c r="B103" s="3"/>
      <c r="C103" s="10" t="s">
        <v>111</v>
      </c>
      <c r="D103" s="10" t="s">
        <v>112</v>
      </c>
      <c r="E103" s="3"/>
      <c r="F103" s="10"/>
      <c r="G103" s="34" t="e">
        <f>SUMPRODUCT(G99:G102,$E$76:$E$79)/1000</f>
        <v>#N/A</v>
      </c>
      <c r="H103" s="34" t="e">
        <f>SUMPRODUCT(H99:H102,$E$76:$E$79)/1000</f>
        <v>#N/A</v>
      </c>
      <c r="I103" s="34" t="e">
        <f>SUMPRODUCT(I99:I102,$E$76:$E$79)/1000</f>
        <v>#N/A</v>
      </c>
      <c r="J103" s="34" t="e">
        <f t="shared" ref="J103:AJ103" si="27">SUMPRODUCT(J99:J102,$E$76:$E$79)/1000</f>
        <v>#N/A</v>
      </c>
      <c r="K103" s="34" t="e">
        <f t="shared" si="27"/>
        <v>#N/A</v>
      </c>
      <c r="L103" s="34" t="e">
        <f t="shared" si="27"/>
        <v>#N/A</v>
      </c>
      <c r="M103" s="34" t="e">
        <f t="shared" si="27"/>
        <v>#N/A</v>
      </c>
      <c r="N103" s="34" t="e">
        <f t="shared" si="27"/>
        <v>#N/A</v>
      </c>
      <c r="O103" s="34" t="e">
        <f t="shared" si="27"/>
        <v>#N/A</v>
      </c>
      <c r="P103" s="34" t="e">
        <f t="shared" si="27"/>
        <v>#N/A</v>
      </c>
      <c r="Q103" s="34" t="e">
        <f t="shared" si="27"/>
        <v>#N/A</v>
      </c>
      <c r="R103" s="34" t="e">
        <f t="shared" si="27"/>
        <v>#N/A</v>
      </c>
      <c r="S103" s="34" t="e">
        <f t="shared" si="27"/>
        <v>#N/A</v>
      </c>
      <c r="T103" s="34" t="e">
        <f t="shared" si="27"/>
        <v>#N/A</v>
      </c>
      <c r="U103" s="34" t="e">
        <f t="shared" si="27"/>
        <v>#N/A</v>
      </c>
      <c r="V103" s="34" t="e">
        <f t="shared" si="27"/>
        <v>#N/A</v>
      </c>
      <c r="W103" s="34" t="e">
        <f t="shared" si="27"/>
        <v>#N/A</v>
      </c>
      <c r="X103" s="34" t="e">
        <f t="shared" si="27"/>
        <v>#N/A</v>
      </c>
      <c r="Y103" s="34" t="e">
        <f t="shared" si="27"/>
        <v>#N/A</v>
      </c>
      <c r="Z103" s="34" t="e">
        <f t="shared" si="27"/>
        <v>#N/A</v>
      </c>
      <c r="AA103" s="34" t="e">
        <f t="shared" si="27"/>
        <v>#N/A</v>
      </c>
      <c r="AB103" s="34" t="e">
        <f t="shared" si="27"/>
        <v>#N/A</v>
      </c>
      <c r="AC103" s="34" t="e">
        <f t="shared" si="27"/>
        <v>#N/A</v>
      </c>
      <c r="AD103" s="34" t="e">
        <f t="shared" si="27"/>
        <v>#N/A</v>
      </c>
      <c r="AE103" s="34" t="e">
        <f t="shared" si="27"/>
        <v>#N/A</v>
      </c>
      <c r="AF103" s="34" t="e">
        <f t="shared" si="27"/>
        <v>#N/A</v>
      </c>
      <c r="AG103" s="34" t="e">
        <f t="shared" si="27"/>
        <v>#N/A</v>
      </c>
      <c r="AH103" s="34" t="e">
        <f t="shared" si="27"/>
        <v>#N/A</v>
      </c>
      <c r="AI103" s="34" t="e">
        <f t="shared" si="27"/>
        <v>#N/A</v>
      </c>
      <c r="AJ103" s="34" t="e">
        <f t="shared" si="27"/>
        <v>#N/A</v>
      </c>
      <c r="AK103" s="34" t="e">
        <f>SUMPRODUCT(AK99:AK102,$E$76:$E$79)/1000</f>
        <v>#N/A</v>
      </c>
      <c r="AL103" s="3"/>
    </row>
    <row r="104" spans="1:38" x14ac:dyDescent="0.25">
      <c r="A104" s="41"/>
      <c r="B104" s="3"/>
      <c r="C104" s="3"/>
      <c r="D104" s="3"/>
      <c r="E104" s="3"/>
      <c r="F104" s="3"/>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
    </row>
    <row r="105" spans="1:38" x14ac:dyDescent="0.25">
      <c r="A105" s="41"/>
      <c r="B105" s="3"/>
      <c r="C105" s="6"/>
      <c r="D105" s="13" t="s">
        <v>85</v>
      </c>
      <c r="E105" s="6" t="s">
        <v>83</v>
      </c>
      <c r="F105" s="3"/>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3"/>
    </row>
    <row r="106" spans="1:38" x14ac:dyDescent="0.25">
      <c r="A106" s="41">
        <f>IF(ISERROR(_xlfn.XMATCH(D106,Fuel_Opex_Type2_BC_Ar)),1,0)</f>
        <v>0</v>
      </c>
      <c r="B106" s="141" t="str">
        <f>IF($D106&lt;&gt;"&lt;Select&gt;",IF($C106&lt;&gt;"&lt;Select&gt;",IF(ISERROR(_xlfn.XMATCH($C106,INDEX(Fuel_List_Ar,_xlfn.XMATCH($D106,Fuel_List_Ar)):INDEX(Forbidden_fuel_unit_Right_Ar,_xlfn.XMATCH($D106,Fuel_List_Ar)))),"OK","Wrong unit"),"Unit missing"),".")</f>
        <v>.</v>
      </c>
      <c r="C106" s="57" t="s">
        <v>94</v>
      </c>
      <c r="D106" s="57" t="s">
        <v>94</v>
      </c>
      <c r="E106" s="57"/>
      <c r="F106" s="3"/>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3"/>
    </row>
    <row r="107" spans="1:38" x14ac:dyDescent="0.25">
      <c r="A107" s="41">
        <f>IF(ISERROR(_xlfn.XMATCH(D107,Fuel_Opex_Type2_BC_Ar)),1,0)</f>
        <v>0</v>
      </c>
      <c r="B107" s="141" t="str">
        <f>IF($D107&lt;&gt;"&lt;Select&gt;",IF($C107&lt;&gt;"&lt;Select&gt;",IF(ISERROR(_xlfn.XMATCH($C107,INDEX(Fuel_List_Ar,_xlfn.XMATCH($D107,Fuel_List_Ar)):INDEX(Forbidden_fuel_unit_Right_Ar,_xlfn.XMATCH($D107,Fuel_List_Ar)))),"OK","Wrong unit"),"Unit missing"),".")</f>
        <v>.</v>
      </c>
      <c r="C107" s="57" t="s">
        <v>94</v>
      </c>
      <c r="D107" s="57" t="s">
        <v>94</v>
      </c>
      <c r="E107" s="57"/>
      <c r="F107" s="3"/>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3"/>
    </row>
    <row r="108" spans="1:38" x14ac:dyDescent="0.25">
      <c r="A108" s="41">
        <f>IF(ISERROR(_xlfn.XMATCH(D108,Fuel_Opex_Type2_BC_Ar)),1,0)</f>
        <v>0</v>
      </c>
      <c r="B108" s="141" t="str">
        <f>IF($D108&lt;&gt;"&lt;Select&gt;",IF($C108&lt;&gt;"&lt;Select&gt;",IF(ISERROR(_xlfn.XMATCH($C108,INDEX(Fuel_List_Ar,_xlfn.XMATCH($D108,Fuel_List_Ar)):INDEX(Forbidden_fuel_unit_Right_Ar,_xlfn.XMATCH($D108,Fuel_List_Ar)))),"OK","Wrong unit"),"Unit missing"),".")</f>
        <v>.</v>
      </c>
      <c r="C108" s="57" t="s">
        <v>94</v>
      </c>
      <c r="D108" s="57" t="s">
        <v>94</v>
      </c>
      <c r="E108" s="57"/>
      <c r="F108" s="3"/>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3"/>
    </row>
    <row r="109" spans="1:38" x14ac:dyDescent="0.25">
      <c r="A109" s="41">
        <f>IF(ISERROR(_xlfn.XMATCH(D109,Fuel_Opex_Type2_BC_Ar)),1,0)</f>
        <v>0</v>
      </c>
      <c r="B109" s="141" t="str">
        <f>IF($D109&lt;&gt;"&lt;Select&gt;",IF($C109&lt;&gt;"&lt;Select&gt;",IF(ISERROR(_xlfn.XMATCH($C109,INDEX(Fuel_List_Ar,_xlfn.XMATCH($D109,Fuel_List_Ar)):INDEX(Forbidden_fuel_unit_Right_Ar,_xlfn.XMATCH($D109,Fuel_List_Ar)))),"OK","Wrong unit"),"Unit missing"),".")</f>
        <v>.</v>
      </c>
      <c r="C109" s="57" t="s">
        <v>94</v>
      </c>
      <c r="D109" s="57" t="s">
        <v>94</v>
      </c>
      <c r="E109" s="57"/>
      <c r="F109" s="3"/>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3"/>
    </row>
    <row r="110" spans="1:38" x14ac:dyDescent="0.25">
      <c r="A110" s="3"/>
      <c r="B110" s="3"/>
      <c r="C110" s="6" t="s">
        <v>111</v>
      </c>
      <c r="D110" s="6" t="s">
        <v>112</v>
      </c>
      <c r="E110" s="3"/>
      <c r="F110" s="6"/>
      <c r="G110" s="146">
        <f t="shared" ref="G110:AK110" si="28">SUMPRODUCT(G106:G109,$E$83:$E$86)/1000</f>
        <v>0</v>
      </c>
      <c r="H110" s="146">
        <f t="shared" si="28"/>
        <v>0</v>
      </c>
      <c r="I110" s="146">
        <f t="shared" si="28"/>
        <v>0</v>
      </c>
      <c r="J110" s="146">
        <f t="shared" si="28"/>
        <v>0</v>
      </c>
      <c r="K110" s="146">
        <f t="shared" si="28"/>
        <v>0</v>
      </c>
      <c r="L110" s="146">
        <f t="shared" si="28"/>
        <v>0</v>
      </c>
      <c r="M110" s="146">
        <f t="shared" si="28"/>
        <v>0</v>
      </c>
      <c r="N110" s="146">
        <f t="shared" si="28"/>
        <v>0</v>
      </c>
      <c r="O110" s="146">
        <f t="shared" si="28"/>
        <v>0</v>
      </c>
      <c r="P110" s="146">
        <f t="shared" si="28"/>
        <v>0</v>
      </c>
      <c r="Q110" s="146">
        <f t="shared" si="28"/>
        <v>0</v>
      </c>
      <c r="R110" s="146">
        <f t="shared" si="28"/>
        <v>0</v>
      </c>
      <c r="S110" s="146">
        <f t="shared" si="28"/>
        <v>0</v>
      </c>
      <c r="T110" s="146">
        <f t="shared" si="28"/>
        <v>0</v>
      </c>
      <c r="U110" s="146">
        <f t="shared" si="28"/>
        <v>0</v>
      </c>
      <c r="V110" s="146">
        <f t="shared" si="28"/>
        <v>0</v>
      </c>
      <c r="W110" s="146">
        <f t="shared" si="28"/>
        <v>0</v>
      </c>
      <c r="X110" s="146">
        <f t="shared" si="28"/>
        <v>0</v>
      </c>
      <c r="Y110" s="146">
        <f t="shared" si="28"/>
        <v>0</v>
      </c>
      <c r="Z110" s="146">
        <f t="shared" si="28"/>
        <v>0</v>
      </c>
      <c r="AA110" s="146">
        <f t="shared" si="28"/>
        <v>0</v>
      </c>
      <c r="AB110" s="146">
        <f t="shared" si="28"/>
        <v>0</v>
      </c>
      <c r="AC110" s="146">
        <f t="shared" si="28"/>
        <v>0</v>
      </c>
      <c r="AD110" s="146">
        <f t="shared" si="28"/>
        <v>0</v>
      </c>
      <c r="AE110" s="146">
        <f t="shared" si="28"/>
        <v>0</v>
      </c>
      <c r="AF110" s="146">
        <f t="shared" si="28"/>
        <v>0</v>
      </c>
      <c r="AG110" s="146">
        <f t="shared" si="28"/>
        <v>0</v>
      </c>
      <c r="AH110" s="146">
        <f t="shared" si="28"/>
        <v>0</v>
      </c>
      <c r="AI110" s="146">
        <f t="shared" si="28"/>
        <v>0</v>
      </c>
      <c r="AJ110" s="146">
        <f t="shared" si="28"/>
        <v>0</v>
      </c>
      <c r="AK110" s="146">
        <f t="shared" si="28"/>
        <v>0</v>
      </c>
      <c r="AL110" s="3"/>
    </row>
    <row r="111" spans="1:38"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x14ac:dyDescent="0.25">
      <c r="A112" s="33"/>
      <c r="B112" s="33"/>
      <c r="C112" s="33"/>
      <c r="D112" s="3" t="s">
        <v>113</v>
      </c>
      <c r="E112" s="33"/>
      <c r="F112" s="33"/>
      <c r="G112" s="39" t="e">
        <f>G103-G110</f>
        <v>#N/A</v>
      </c>
      <c r="H112" s="39" t="e">
        <f t="shared" ref="H112:AK112" si="29">H103-H110</f>
        <v>#N/A</v>
      </c>
      <c r="I112" s="39" t="e">
        <f t="shared" si="29"/>
        <v>#N/A</v>
      </c>
      <c r="J112" s="39" t="e">
        <f t="shared" si="29"/>
        <v>#N/A</v>
      </c>
      <c r="K112" s="39" t="e">
        <f t="shared" si="29"/>
        <v>#N/A</v>
      </c>
      <c r="L112" s="39" t="e">
        <f t="shared" si="29"/>
        <v>#N/A</v>
      </c>
      <c r="M112" s="39" t="e">
        <f t="shared" si="29"/>
        <v>#N/A</v>
      </c>
      <c r="N112" s="39" t="e">
        <f t="shared" si="29"/>
        <v>#N/A</v>
      </c>
      <c r="O112" s="39" t="e">
        <f t="shared" si="29"/>
        <v>#N/A</v>
      </c>
      <c r="P112" s="39" t="e">
        <f t="shared" si="29"/>
        <v>#N/A</v>
      </c>
      <c r="Q112" s="39" t="e">
        <f t="shared" si="29"/>
        <v>#N/A</v>
      </c>
      <c r="R112" s="39" t="e">
        <f t="shared" si="29"/>
        <v>#N/A</v>
      </c>
      <c r="S112" s="39" t="e">
        <f t="shared" si="29"/>
        <v>#N/A</v>
      </c>
      <c r="T112" s="39" t="e">
        <f t="shared" si="29"/>
        <v>#N/A</v>
      </c>
      <c r="U112" s="39" t="e">
        <f t="shared" si="29"/>
        <v>#N/A</v>
      </c>
      <c r="V112" s="39" t="e">
        <f t="shared" si="29"/>
        <v>#N/A</v>
      </c>
      <c r="W112" s="39" t="e">
        <f t="shared" si="29"/>
        <v>#N/A</v>
      </c>
      <c r="X112" s="39" t="e">
        <f t="shared" si="29"/>
        <v>#N/A</v>
      </c>
      <c r="Y112" s="39" t="e">
        <f t="shared" si="29"/>
        <v>#N/A</v>
      </c>
      <c r="Z112" s="39" t="e">
        <f t="shared" si="29"/>
        <v>#N/A</v>
      </c>
      <c r="AA112" s="39" t="e">
        <f t="shared" si="29"/>
        <v>#N/A</v>
      </c>
      <c r="AB112" s="39" t="e">
        <f t="shared" si="29"/>
        <v>#N/A</v>
      </c>
      <c r="AC112" s="39" t="e">
        <f t="shared" si="29"/>
        <v>#N/A</v>
      </c>
      <c r="AD112" s="39" t="e">
        <f t="shared" si="29"/>
        <v>#N/A</v>
      </c>
      <c r="AE112" s="39" t="e">
        <f t="shared" si="29"/>
        <v>#N/A</v>
      </c>
      <c r="AF112" s="39" t="e">
        <f t="shared" si="29"/>
        <v>#N/A</v>
      </c>
      <c r="AG112" s="39" t="e">
        <f t="shared" si="29"/>
        <v>#N/A</v>
      </c>
      <c r="AH112" s="39" t="e">
        <f t="shared" si="29"/>
        <v>#N/A</v>
      </c>
      <c r="AI112" s="39" t="e">
        <f t="shared" si="29"/>
        <v>#N/A</v>
      </c>
      <c r="AJ112" s="39" t="e">
        <f t="shared" si="29"/>
        <v>#N/A</v>
      </c>
      <c r="AK112" s="39" t="e">
        <f t="shared" si="29"/>
        <v>#N/A</v>
      </c>
      <c r="AL112" s="3"/>
    </row>
    <row r="113" spans="1:38" x14ac:dyDescent="0.25">
      <c r="A113" s="33"/>
      <c r="B113" s="33"/>
      <c r="C113" s="33"/>
      <c r="D113" s="3"/>
      <c r="E113" s="33"/>
      <c r="F113" s="33"/>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
    </row>
    <row r="114" spans="1:38" ht="18.75" x14ac:dyDescent="0.3">
      <c r="A114" s="3"/>
      <c r="B114" s="3"/>
      <c r="C114" s="3"/>
      <c r="D114" s="8" t="s">
        <v>114</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idden="1" outlineLevel="1" x14ac:dyDescent="0.25">
      <c r="A115" s="3"/>
      <c r="B115" s="9"/>
      <c r="C115" s="9"/>
      <c r="D115" s="15" t="s">
        <v>115</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idden="1" outlineLevel="1" x14ac:dyDescent="0.25">
      <c r="A116" s="3"/>
      <c r="B116" s="9" t="s">
        <v>116</v>
      </c>
      <c r="C116" s="9" t="s">
        <v>73</v>
      </c>
      <c r="D116" s="9" t="s">
        <v>117</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idden="1" outlineLevel="2" x14ac:dyDescent="0.25">
      <c r="A117" s="41"/>
      <c r="B117" s="3" t="s">
        <v>60</v>
      </c>
      <c r="C117" s="51" t="str">
        <f>IF(Real_Nom="Nominal",IFERROR(IRR($G117:INDEX($G117:$AK117,Life+1)),"Incomplete data"),"na")</f>
        <v>na</v>
      </c>
      <c r="D117" s="3" t="s">
        <v>118</v>
      </c>
      <c r="E117" s="3"/>
      <c r="F117" s="3"/>
      <c r="G117" s="40" t="str">
        <f t="shared" ref="G117:AK117" si="30">IF(Real_Nom="Nominal",SUM(G28,G94),"na")</f>
        <v>na</v>
      </c>
      <c r="H117" s="40" t="str">
        <f t="shared" si="30"/>
        <v>na</v>
      </c>
      <c r="I117" s="40" t="str">
        <f t="shared" si="30"/>
        <v>na</v>
      </c>
      <c r="J117" s="40" t="str">
        <f t="shared" si="30"/>
        <v>na</v>
      </c>
      <c r="K117" s="40" t="str">
        <f t="shared" si="30"/>
        <v>na</v>
      </c>
      <c r="L117" s="40" t="str">
        <f t="shared" si="30"/>
        <v>na</v>
      </c>
      <c r="M117" s="40" t="str">
        <f t="shared" si="30"/>
        <v>na</v>
      </c>
      <c r="N117" s="40" t="str">
        <f t="shared" si="30"/>
        <v>na</v>
      </c>
      <c r="O117" s="40" t="str">
        <f t="shared" si="30"/>
        <v>na</v>
      </c>
      <c r="P117" s="40" t="str">
        <f t="shared" si="30"/>
        <v>na</v>
      </c>
      <c r="Q117" s="40" t="str">
        <f t="shared" si="30"/>
        <v>na</v>
      </c>
      <c r="R117" s="40" t="str">
        <f t="shared" si="30"/>
        <v>na</v>
      </c>
      <c r="S117" s="40" t="str">
        <f t="shared" si="30"/>
        <v>na</v>
      </c>
      <c r="T117" s="40" t="str">
        <f t="shared" si="30"/>
        <v>na</v>
      </c>
      <c r="U117" s="40" t="str">
        <f t="shared" si="30"/>
        <v>na</v>
      </c>
      <c r="V117" s="40" t="str">
        <f t="shared" si="30"/>
        <v>na</v>
      </c>
      <c r="W117" s="40" t="str">
        <f t="shared" si="30"/>
        <v>na</v>
      </c>
      <c r="X117" s="40" t="str">
        <f t="shared" si="30"/>
        <v>na</v>
      </c>
      <c r="Y117" s="40" t="str">
        <f t="shared" si="30"/>
        <v>na</v>
      </c>
      <c r="Z117" s="40" t="str">
        <f t="shared" si="30"/>
        <v>na</v>
      </c>
      <c r="AA117" s="40" t="str">
        <f t="shared" si="30"/>
        <v>na</v>
      </c>
      <c r="AB117" s="40" t="str">
        <f t="shared" si="30"/>
        <v>na</v>
      </c>
      <c r="AC117" s="40" t="str">
        <f t="shared" si="30"/>
        <v>na</v>
      </c>
      <c r="AD117" s="40" t="str">
        <f t="shared" si="30"/>
        <v>na</v>
      </c>
      <c r="AE117" s="40" t="str">
        <f t="shared" si="30"/>
        <v>na</v>
      </c>
      <c r="AF117" s="40" t="str">
        <f t="shared" si="30"/>
        <v>na</v>
      </c>
      <c r="AG117" s="40" t="str">
        <f t="shared" si="30"/>
        <v>na</v>
      </c>
      <c r="AH117" s="40" t="str">
        <f t="shared" si="30"/>
        <v>na</v>
      </c>
      <c r="AI117" s="40" t="str">
        <f t="shared" si="30"/>
        <v>na</v>
      </c>
      <c r="AJ117" s="40" t="str">
        <f t="shared" si="30"/>
        <v>na</v>
      </c>
      <c r="AK117" s="40" t="str">
        <f t="shared" si="30"/>
        <v>na</v>
      </c>
      <c r="AL117" s="3"/>
    </row>
    <row r="118" spans="1:38" hidden="1" outlineLevel="2" x14ac:dyDescent="0.25">
      <c r="A118" s="41" t="e" cm="1">
        <f t="array" ref="A118">SUM(IF($G118:INDEX($G118:$AK118,Life)&gt;0,1))</f>
        <v>#N/A</v>
      </c>
      <c r="B118" s="3" t="s">
        <v>119</v>
      </c>
      <c r="C118" s="52" t="str" cm="1">
        <f t="array" ref="C118">IF(Real_Nom="Nominal",IFERROR($A118-INDEX($G118:$AK118,$A118)/(INDEX($G118:$AK118,$A118+1)-INDEX($G118:$AK118,$A118))-1,"Incomplete data"),"na")</f>
        <v>na</v>
      </c>
      <c r="D118" s="3" t="s">
        <v>120</v>
      </c>
      <c r="E118" s="3"/>
      <c r="F118" s="3"/>
      <c r="G118" s="40" t="str">
        <f t="shared" ref="G118:AK118" si="31">IF(Real_Nom="Nominal",SUM(F118,G117),"na")</f>
        <v>na</v>
      </c>
      <c r="H118" s="40" t="str">
        <f t="shared" si="31"/>
        <v>na</v>
      </c>
      <c r="I118" s="40" t="str">
        <f t="shared" si="31"/>
        <v>na</v>
      </c>
      <c r="J118" s="40" t="str">
        <f t="shared" si="31"/>
        <v>na</v>
      </c>
      <c r="K118" s="40" t="str">
        <f t="shared" si="31"/>
        <v>na</v>
      </c>
      <c r="L118" s="40" t="str">
        <f t="shared" si="31"/>
        <v>na</v>
      </c>
      <c r="M118" s="40" t="str">
        <f t="shared" si="31"/>
        <v>na</v>
      </c>
      <c r="N118" s="40" t="str">
        <f t="shared" si="31"/>
        <v>na</v>
      </c>
      <c r="O118" s="40" t="str">
        <f t="shared" si="31"/>
        <v>na</v>
      </c>
      <c r="P118" s="40" t="str">
        <f t="shared" si="31"/>
        <v>na</v>
      </c>
      <c r="Q118" s="40" t="str">
        <f t="shared" si="31"/>
        <v>na</v>
      </c>
      <c r="R118" s="40" t="str">
        <f t="shared" si="31"/>
        <v>na</v>
      </c>
      <c r="S118" s="40" t="str">
        <f t="shared" si="31"/>
        <v>na</v>
      </c>
      <c r="T118" s="40" t="str">
        <f t="shared" si="31"/>
        <v>na</v>
      </c>
      <c r="U118" s="40" t="str">
        <f t="shared" si="31"/>
        <v>na</v>
      </c>
      <c r="V118" s="40" t="str">
        <f t="shared" si="31"/>
        <v>na</v>
      </c>
      <c r="W118" s="40" t="str">
        <f t="shared" si="31"/>
        <v>na</v>
      </c>
      <c r="X118" s="40" t="str">
        <f t="shared" si="31"/>
        <v>na</v>
      </c>
      <c r="Y118" s="40" t="str">
        <f t="shared" si="31"/>
        <v>na</v>
      </c>
      <c r="Z118" s="40" t="str">
        <f t="shared" si="31"/>
        <v>na</v>
      </c>
      <c r="AA118" s="40" t="str">
        <f t="shared" si="31"/>
        <v>na</v>
      </c>
      <c r="AB118" s="40" t="str">
        <f t="shared" si="31"/>
        <v>na</v>
      </c>
      <c r="AC118" s="40" t="str">
        <f t="shared" si="31"/>
        <v>na</v>
      </c>
      <c r="AD118" s="40" t="str">
        <f t="shared" si="31"/>
        <v>na</v>
      </c>
      <c r="AE118" s="40" t="str">
        <f t="shared" si="31"/>
        <v>na</v>
      </c>
      <c r="AF118" s="40" t="str">
        <f t="shared" si="31"/>
        <v>na</v>
      </c>
      <c r="AG118" s="40" t="str">
        <f t="shared" si="31"/>
        <v>na</v>
      </c>
      <c r="AH118" s="40" t="str">
        <f t="shared" si="31"/>
        <v>na</v>
      </c>
      <c r="AI118" s="40" t="str">
        <f t="shared" si="31"/>
        <v>na</v>
      </c>
      <c r="AJ118" s="40" t="str">
        <f t="shared" si="31"/>
        <v>na</v>
      </c>
      <c r="AK118" s="40" t="str">
        <f t="shared" si="31"/>
        <v>na</v>
      </c>
      <c r="AL118" s="3"/>
    </row>
    <row r="119" spans="1:38" hidden="1" outlineLevel="2" x14ac:dyDescent="0.25">
      <c r="A119" s="41"/>
      <c r="B119" s="3" t="s">
        <v>60</v>
      </c>
      <c r="C119" s="51" t="str">
        <f>IFERROR(IRR($G119:INDEX($G119:$AK119,Life+1)),"Incomplete data")</f>
        <v>Incomplete data</v>
      </c>
      <c r="D119" s="3" t="s">
        <v>121</v>
      </c>
      <c r="E119" s="3"/>
      <c r="F119" s="3"/>
      <c r="G119" s="40">
        <f>IF(Real_Nom="Nominal",G117/In_Out!B$23,SUM(G28,G94))</f>
        <v>0</v>
      </c>
      <c r="H119" s="40">
        <f>IF(Real_Nom="Nominal",H117/In_Out!C$23,SUM(H28,H94))</f>
        <v>0</v>
      </c>
      <c r="I119" s="40">
        <f>IF(Real_Nom="Nominal",I117/In_Out!D$23,SUM(I28,I94))</f>
        <v>0</v>
      </c>
      <c r="J119" s="40">
        <f>IF(Real_Nom="Nominal",J117/In_Out!E$23,SUM(J28,J94))</f>
        <v>0</v>
      </c>
      <c r="K119" s="40">
        <f>IF(Real_Nom="Nominal",K117/In_Out!F$23,SUM(K28,K94))</f>
        <v>0</v>
      </c>
      <c r="L119" s="40">
        <f>IF(Real_Nom="Nominal",L117/In_Out!G$23,SUM(L28,L94))</f>
        <v>0</v>
      </c>
      <c r="M119" s="40">
        <f>IF(Real_Nom="Nominal",M117/In_Out!H$23,SUM(M28,M94))</f>
        <v>0</v>
      </c>
      <c r="N119" s="40">
        <f>IF(Real_Nom="Nominal",N117/In_Out!I$23,SUM(N28,N94))</f>
        <v>0</v>
      </c>
      <c r="O119" s="40">
        <f>IF(Real_Nom="Nominal",O117/In_Out!J$23,SUM(O28,O94))</f>
        <v>0</v>
      </c>
      <c r="P119" s="40">
        <f>IF(Real_Nom="Nominal",P117/In_Out!K$23,SUM(P28,P94))</f>
        <v>0</v>
      </c>
      <c r="Q119" s="40">
        <f>IF(Real_Nom="Nominal",Q117/In_Out!L$23,SUM(Q28,Q94))</f>
        <v>0</v>
      </c>
      <c r="R119" s="40">
        <f>IF(Real_Nom="Nominal",R117/In_Out!M$23,SUM(R28,R94))</f>
        <v>0</v>
      </c>
      <c r="S119" s="40">
        <f>IF(Real_Nom="Nominal",S117/In_Out!N$23,SUM(S28,S94))</f>
        <v>0</v>
      </c>
      <c r="T119" s="40">
        <f>IF(Real_Nom="Nominal",T117/In_Out!O$23,SUM(T28,T94))</f>
        <v>0</v>
      </c>
      <c r="U119" s="40">
        <f>IF(Real_Nom="Nominal",U117/In_Out!P$23,SUM(U28,U94))</f>
        <v>0</v>
      </c>
      <c r="V119" s="40">
        <f>IF(Real_Nom="Nominal",V117/In_Out!Q$23,SUM(V28,V94))</f>
        <v>0</v>
      </c>
      <c r="W119" s="40">
        <f>IF(Real_Nom="Nominal",W117/In_Out!R$23,SUM(W28,W94))</f>
        <v>0</v>
      </c>
      <c r="X119" s="40">
        <f>IF(Real_Nom="Nominal",X117/In_Out!S$23,SUM(X28,X94))</f>
        <v>0</v>
      </c>
      <c r="Y119" s="40">
        <f>IF(Real_Nom="Nominal",Y117/In_Out!T$23,SUM(Y28,Y94))</f>
        <v>0</v>
      </c>
      <c r="Z119" s="40">
        <f>IF(Real_Nom="Nominal",Z117/In_Out!U$23,SUM(Z28,Z94))</f>
        <v>0</v>
      </c>
      <c r="AA119" s="40">
        <f>IF(Real_Nom="Nominal",AA117/In_Out!V$23,SUM(AA28,AA94))</f>
        <v>0</v>
      </c>
      <c r="AB119" s="40">
        <f>IF(Real_Nom="Nominal",AB117/In_Out!W$23,SUM(AB28,AB94))</f>
        <v>0</v>
      </c>
      <c r="AC119" s="40">
        <f>IF(Real_Nom="Nominal",AC117/In_Out!X$23,SUM(AC28,AC94))</f>
        <v>0</v>
      </c>
      <c r="AD119" s="40">
        <f>IF(Real_Nom="Nominal",AD117/In_Out!Y$23,SUM(AD28,AD94))</f>
        <v>0</v>
      </c>
      <c r="AE119" s="40">
        <f>IF(Real_Nom="Nominal",AE117/In_Out!Z$23,SUM(AE28,AE94))</f>
        <v>0</v>
      </c>
      <c r="AF119" s="40">
        <f>IF(Real_Nom="Nominal",AF117/In_Out!AA$23,SUM(AF28,AF94))</f>
        <v>0</v>
      </c>
      <c r="AG119" s="40">
        <f>IF(Real_Nom="Nominal",AG117/In_Out!AB$23,SUM(AG28,AG94))</f>
        <v>0</v>
      </c>
      <c r="AH119" s="40">
        <f>IF(Real_Nom="Nominal",AH117/In_Out!AC$23,SUM(AH28,AH94))</f>
        <v>0</v>
      </c>
      <c r="AI119" s="40">
        <f>IF(Real_Nom="Nominal",AI117/In_Out!AD$23,SUM(AI28,AI94))</f>
        <v>0</v>
      </c>
      <c r="AJ119" s="40">
        <f>IF(Real_Nom="Nominal",AJ117/In_Out!AE$23,SUM(AJ28,AJ94))</f>
        <v>0</v>
      </c>
      <c r="AK119" s="40">
        <f>IF(Real_Nom="Nominal",AK117/In_Out!AE$23,SUM(AK28,AK94))</f>
        <v>0</v>
      </c>
      <c r="AL119" s="3"/>
    </row>
    <row r="120" spans="1:38" hidden="1" outlineLevel="2" x14ac:dyDescent="0.25">
      <c r="A120" s="41" t="e" cm="1">
        <f t="array" ref="A120">SUM(IF($G120:INDEX($G120:$AK120,Life)&gt;0,1))</f>
        <v>#N/A</v>
      </c>
      <c r="B120" s="3" t="s">
        <v>119</v>
      </c>
      <c r="C120" s="52" t="e" cm="1">
        <f t="array" ref="C120">IF($A120&gt;0,IFERROR($A120-INDEX($G120:$AK120,$A120)/(INDEX($G120:$AK120,$A120+1)-INDEX($G120:$AK120,$A120))-1,"Incomplete data"),"Incomplete data")</f>
        <v>#N/A</v>
      </c>
      <c r="D120" s="3" t="s">
        <v>120</v>
      </c>
      <c r="E120" s="3"/>
      <c r="F120" s="3"/>
      <c r="G120" s="40">
        <f t="shared" ref="G120:L120" si="32">SUM(F120,G119)</f>
        <v>0</v>
      </c>
      <c r="H120" s="40">
        <f t="shared" si="32"/>
        <v>0</v>
      </c>
      <c r="I120" s="40">
        <f t="shared" si="32"/>
        <v>0</v>
      </c>
      <c r="J120" s="40">
        <f t="shared" si="32"/>
        <v>0</v>
      </c>
      <c r="K120" s="40">
        <f t="shared" si="32"/>
        <v>0</v>
      </c>
      <c r="L120" s="40">
        <f t="shared" si="32"/>
        <v>0</v>
      </c>
      <c r="M120" s="40">
        <f>SUM(L120,M119)</f>
        <v>0</v>
      </c>
      <c r="N120" s="40">
        <f t="shared" ref="N120:AK120" si="33">SUM(M120,N119)</f>
        <v>0</v>
      </c>
      <c r="O120" s="40">
        <f t="shared" si="33"/>
        <v>0</v>
      </c>
      <c r="P120" s="40">
        <f t="shared" si="33"/>
        <v>0</v>
      </c>
      <c r="Q120" s="40">
        <f t="shared" si="33"/>
        <v>0</v>
      </c>
      <c r="R120" s="40">
        <f t="shared" si="33"/>
        <v>0</v>
      </c>
      <c r="S120" s="40">
        <f t="shared" si="33"/>
        <v>0</v>
      </c>
      <c r="T120" s="40">
        <f t="shared" si="33"/>
        <v>0</v>
      </c>
      <c r="U120" s="40">
        <f t="shared" si="33"/>
        <v>0</v>
      </c>
      <c r="V120" s="40">
        <f t="shared" si="33"/>
        <v>0</v>
      </c>
      <c r="W120" s="40">
        <f t="shared" si="33"/>
        <v>0</v>
      </c>
      <c r="X120" s="40">
        <f t="shared" si="33"/>
        <v>0</v>
      </c>
      <c r="Y120" s="40">
        <f t="shared" si="33"/>
        <v>0</v>
      </c>
      <c r="Z120" s="40">
        <f t="shared" si="33"/>
        <v>0</v>
      </c>
      <c r="AA120" s="40">
        <f t="shared" si="33"/>
        <v>0</v>
      </c>
      <c r="AB120" s="40">
        <f t="shared" si="33"/>
        <v>0</v>
      </c>
      <c r="AC120" s="40">
        <f t="shared" si="33"/>
        <v>0</v>
      </c>
      <c r="AD120" s="40">
        <f t="shared" si="33"/>
        <v>0</v>
      </c>
      <c r="AE120" s="40">
        <f t="shared" si="33"/>
        <v>0</v>
      </c>
      <c r="AF120" s="40">
        <f t="shared" si="33"/>
        <v>0</v>
      </c>
      <c r="AG120" s="40">
        <f t="shared" si="33"/>
        <v>0</v>
      </c>
      <c r="AH120" s="40">
        <f t="shared" si="33"/>
        <v>0</v>
      </c>
      <c r="AI120" s="40">
        <f t="shared" si="33"/>
        <v>0</v>
      </c>
      <c r="AJ120" s="40">
        <f t="shared" si="33"/>
        <v>0</v>
      </c>
      <c r="AK120" s="40">
        <f t="shared" si="33"/>
        <v>0</v>
      </c>
      <c r="AL120" s="3"/>
    </row>
    <row r="121" spans="1:38" hidden="1" outlineLevel="1" collapsed="1" x14ac:dyDescent="0.25">
      <c r="A121" s="118"/>
      <c r="B121" s="3"/>
      <c r="C121" s="49"/>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idden="1" outlineLevel="1" x14ac:dyDescent="0.25">
      <c r="A122" s="41"/>
      <c r="B122" s="3"/>
      <c r="C122" s="49"/>
      <c r="D122" s="9" t="s">
        <v>122</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idden="1" outlineLevel="2" x14ac:dyDescent="0.25">
      <c r="A123" s="41"/>
      <c r="B123" s="3" t="s">
        <v>60</v>
      </c>
      <c r="C123" s="51" t="str">
        <f>IF(Real_Nom="Nominal",IFERROR(IRR($G123:INDEX($G123:$AK123,Life+1)),"Incomplete data"),"na")</f>
        <v>na</v>
      </c>
      <c r="D123" s="3" t="s">
        <v>118</v>
      </c>
      <c r="E123" s="3"/>
      <c r="F123" s="3"/>
      <c r="G123" s="40" t="str">
        <f t="shared" ref="G123:AK123" si="34">IF(Real_Nom="Nominal",G117-G$89,"na")</f>
        <v>na</v>
      </c>
      <c r="H123" s="40" t="str">
        <f t="shared" si="34"/>
        <v>na</v>
      </c>
      <c r="I123" s="40" t="str">
        <f t="shared" si="34"/>
        <v>na</v>
      </c>
      <c r="J123" s="40" t="str">
        <f t="shared" si="34"/>
        <v>na</v>
      </c>
      <c r="K123" s="40" t="str">
        <f t="shared" si="34"/>
        <v>na</v>
      </c>
      <c r="L123" s="40" t="str">
        <f t="shared" si="34"/>
        <v>na</v>
      </c>
      <c r="M123" s="40" t="str">
        <f t="shared" si="34"/>
        <v>na</v>
      </c>
      <c r="N123" s="40" t="str">
        <f t="shared" si="34"/>
        <v>na</v>
      </c>
      <c r="O123" s="40" t="str">
        <f t="shared" si="34"/>
        <v>na</v>
      </c>
      <c r="P123" s="40" t="str">
        <f t="shared" si="34"/>
        <v>na</v>
      </c>
      <c r="Q123" s="40" t="str">
        <f t="shared" si="34"/>
        <v>na</v>
      </c>
      <c r="R123" s="40" t="str">
        <f t="shared" si="34"/>
        <v>na</v>
      </c>
      <c r="S123" s="40" t="str">
        <f t="shared" si="34"/>
        <v>na</v>
      </c>
      <c r="T123" s="40" t="str">
        <f t="shared" si="34"/>
        <v>na</v>
      </c>
      <c r="U123" s="40" t="str">
        <f t="shared" si="34"/>
        <v>na</v>
      </c>
      <c r="V123" s="40" t="str">
        <f t="shared" si="34"/>
        <v>na</v>
      </c>
      <c r="W123" s="40" t="str">
        <f t="shared" si="34"/>
        <v>na</v>
      </c>
      <c r="X123" s="40" t="str">
        <f t="shared" si="34"/>
        <v>na</v>
      </c>
      <c r="Y123" s="40" t="str">
        <f t="shared" si="34"/>
        <v>na</v>
      </c>
      <c r="Z123" s="40" t="str">
        <f t="shared" si="34"/>
        <v>na</v>
      </c>
      <c r="AA123" s="40" t="str">
        <f t="shared" si="34"/>
        <v>na</v>
      </c>
      <c r="AB123" s="40" t="str">
        <f t="shared" si="34"/>
        <v>na</v>
      </c>
      <c r="AC123" s="40" t="str">
        <f t="shared" si="34"/>
        <v>na</v>
      </c>
      <c r="AD123" s="40" t="str">
        <f t="shared" si="34"/>
        <v>na</v>
      </c>
      <c r="AE123" s="40" t="str">
        <f t="shared" si="34"/>
        <v>na</v>
      </c>
      <c r="AF123" s="40" t="str">
        <f t="shared" si="34"/>
        <v>na</v>
      </c>
      <c r="AG123" s="40" t="str">
        <f t="shared" si="34"/>
        <v>na</v>
      </c>
      <c r="AH123" s="40" t="str">
        <f t="shared" si="34"/>
        <v>na</v>
      </c>
      <c r="AI123" s="40" t="str">
        <f t="shared" si="34"/>
        <v>na</v>
      </c>
      <c r="AJ123" s="40" t="str">
        <f t="shared" si="34"/>
        <v>na</v>
      </c>
      <c r="AK123" s="40" t="str">
        <f t="shared" si="34"/>
        <v>na</v>
      </c>
      <c r="AL123" s="3"/>
    </row>
    <row r="124" spans="1:38" hidden="1" outlineLevel="2" x14ac:dyDescent="0.25">
      <c r="A124" s="41" t="e" cm="1">
        <f t="array" ref="A124">SUM(IF($G124:INDEX($G124:$AK124,Life)&gt;0,1))</f>
        <v>#N/A</v>
      </c>
      <c r="B124" s="3" t="s">
        <v>119</v>
      </c>
      <c r="C124" s="52" t="str" cm="1">
        <f t="array" ref="C124">IF(Real_Nom="Nominal",IFERROR($A124-INDEX($G124:$AK124,$A124)/(INDEX($G124:$AK124,$A124+1)-INDEX($G124:$AK124,$A124))-1,"Incomplete data"),"na")</f>
        <v>na</v>
      </c>
      <c r="D124" s="3" t="s">
        <v>120</v>
      </c>
      <c r="E124" s="3"/>
      <c r="F124" s="3"/>
      <c r="G124" s="40" t="str">
        <f t="shared" ref="G124:AK124" si="35">IF(Real_Nom="Nominal",SUM(F124,G123),"na")</f>
        <v>na</v>
      </c>
      <c r="H124" s="40" t="str">
        <f t="shared" si="35"/>
        <v>na</v>
      </c>
      <c r="I124" s="40" t="str">
        <f t="shared" si="35"/>
        <v>na</v>
      </c>
      <c r="J124" s="40" t="str">
        <f t="shared" si="35"/>
        <v>na</v>
      </c>
      <c r="K124" s="40" t="str">
        <f t="shared" si="35"/>
        <v>na</v>
      </c>
      <c r="L124" s="40" t="str">
        <f t="shared" si="35"/>
        <v>na</v>
      </c>
      <c r="M124" s="40" t="str">
        <f t="shared" si="35"/>
        <v>na</v>
      </c>
      <c r="N124" s="40" t="str">
        <f t="shared" si="35"/>
        <v>na</v>
      </c>
      <c r="O124" s="40" t="str">
        <f t="shared" si="35"/>
        <v>na</v>
      </c>
      <c r="P124" s="40" t="str">
        <f t="shared" si="35"/>
        <v>na</v>
      </c>
      <c r="Q124" s="40" t="str">
        <f t="shared" si="35"/>
        <v>na</v>
      </c>
      <c r="R124" s="40" t="str">
        <f t="shared" si="35"/>
        <v>na</v>
      </c>
      <c r="S124" s="40" t="str">
        <f t="shared" si="35"/>
        <v>na</v>
      </c>
      <c r="T124" s="40" t="str">
        <f t="shared" si="35"/>
        <v>na</v>
      </c>
      <c r="U124" s="40" t="str">
        <f t="shared" si="35"/>
        <v>na</v>
      </c>
      <c r="V124" s="40" t="str">
        <f t="shared" si="35"/>
        <v>na</v>
      </c>
      <c r="W124" s="40" t="str">
        <f t="shared" si="35"/>
        <v>na</v>
      </c>
      <c r="X124" s="40" t="str">
        <f t="shared" si="35"/>
        <v>na</v>
      </c>
      <c r="Y124" s="40" t="str">
        <f t="shared" si="35"/>
        <v>na</v>
      </c>
      <c r="Z124" s="40" t="str">
        <f t="shared" si="35"/>
        <v>na</v>
      </c>
      <c r="AA124" s="40" t="str">
        <f t="shared" si="35"/>
        <v>na</v>
      </c>
      <c r="AB124" s="40" t="str">
        <f t="shared" si="35"/>
        <v>na</v>
      </c>
      <c r="AC124" s="40" t="str">
        <f t="shared" si="35"/>
        <v>na</v>
      </c>
      <c r="AD124" s="40" t="str">
        <f t="shared" si="35"/>
        <v>na</v>
      </c>
      <c r="AE124" s="40" t="str">
        <f t="shared" si="35"/>
        <v>na</v>
      </c>
      <c r="AF124" s="40" t="str">
        <f t="shared" si="35"/>
        <v>na</v>
      </c>
      <c r="AG124" s="40" t="str">
        <f t="shared" si="35"/>
        <v>na</v>
      </c>
      <c r="AH124" s="40" t="str">
        <f t="shared" si="35"/>
        <v>na</v>
      </c>
      <c r="AI124" s="40" t="str">
        <f t="shared" si="35"/>
        <v>na</v>
      </c>
      <c r="AJ124" s="40" t="str">
        <f t="shared" si="35"/>
        <v>na</v>
      </c>
      <c r="AK124" s="40" t="str">
        <f t="shared" si="35"/>
        <v>na</v>
      </c>
      <c r="AL124" s="3"/>
    </row>
    <row r="125" spans="1:38" hidden="1" outlineLevel="2" x14ac:dyDescent="0.25">
      <c r="A125" s="41"/>
      <c r="B125" s="3" t="s">
        <v>60</v>
      </c>
      <c r="C125" s="51" t="str">
        <f>IFERROR(IRR($G125:INDEX($G125:$AK125,Life+1)),"Incomplete data")</f>
        <v>Incomplete data</v>
      </c>
      <c r="D125" s="3" t="s">
        <v>121</v>
      </c>
      <c r="E125" s="3"/>
      <c r="F125" s="3"/>
      <c r="G125" s="40">
        <f>IF(Real_Nom="Nominal",G123/In_Out!B$23,G119-G$89)</f>
        <v>0</v>
      </c>
      <c r="H125" s="40">
        <f>IF(Real_Nom="Nominal",H123/In_Out!C$23,H119-H$89)</f>
        <v>0</v>
      </c>
      <c r="I125" s="40">
        <f>IF(Real_Nom="Nominal",I123/In_Out!D$23,I119-I$89)</f>
        <v>0</v>
      </c>
      <c r="J125" s="40">
        <f>IF(Real_Nom="Nominal",J123/In_Out!E$23,J119-J$89)</f>
        <v>0</v>
      </c>
      <c r="K125" s="40">
        <f>IF(Real_Nom="Nominal",K123/In_Out!F$23,K119-K$89)</f>
        <v>0</v>
      </c>
      <c r="L125" s="40">
        <f>IF(Real_Nom="Nominal",L123/In_Out!G$23,L119-L$89)</f>
        <v>0</v>
      </c>
      <c r="M125" s="40">
        <f>IF(Real_Nom="Nominal",M123/In_Out!H$23,M119-M$89)</f>
        <v>0</v>
      </c>
      <c r="N125" s="40">
        <f>IF(Real_Nom="Nominal",N123/In_Out!I$23,N119-N$89)</f>
        <v>0</v>
      </c>
      <c r="O125" s="40">
        <f>IF(Real_Nom="Nominal",O123/In_Out!J$23,O119-O$89)</f>
        <v>0</v>
      </c>
      <c r="P125" s="40">
        <f>IF(Real_Nom="Nominal",P123/In_Out!K$23,P119-P$89)</f>
        <v>0</v>
      </c>
      <c r="Q125" s="40">
        <f>IF(Real_Nom="Nominal",Q123/In_Out!L$23,Q119-Q$89)</f>
        <v>0</v>
      </c>
      <c r="R125" s="40">
        <f>IF(Real_Nom="Nominal",R123/In_Out!M$23,R119-R$89)</f>
        <v>0</v>
      </c>
      <c r="S125" s="40">
        <f>IF(Real_Nom="Nominal",S123/In_Out!N$23,S119-S$89)</f>
        <v>0</v>
      </c>
      <c r="T125" s="40">
        <f>IF(Real_Nom="Nominal",T123/In_Out!O$23,T119-T$89)</f>
        <v>0</v>
      </c>
      <c r="U125" s="40">
        <f>IF(Real_Nom="Nominal",U123/In_Out!P$23,U119-U$89)</f>
        <v>0</v>
      </c>
      <c r="V125" s="40">
        <f>IF(Real_Nom="Nominal",V123/In_Out!Q$23,V119-V$89)</f>
        <v>0</v>
      </c>
      <c r="W125" s="40">
        <f>IF(Real_Nom="Nominal",W123/In_Out!R$23,W119-W$89)</f>
        <v>0</v>
      </c>
      <c r="X125" s="40">
        <f>IF(Real_Nom="Nominal",X123/In_Out!S$23,X119-X$89)</f>
        <v>0</v>
      </c>
      <c r="Y125" s="40">
        <f>IF(Real_Nom="Nominal",Y123/In_Out!T$23,Y119-Y$89)</f>
        <v>0</v>
      </c>
      <c r="Z125" s="40">
        <f>IF(Real_Nom="Nominal",Z123/In_Out!U$23,Z119-Z$89)</f>
        <v>0</v>
      </c>
      <c r="AA125" s="40">
        <f>IF(Real_Nom="Nominal",AA123/In_Out!V$23,AA119-AA$89)</f>
        <v>0</v>
      </c>
      <c r="AB125" s="40">
        <f>IF(Real_Nom="Nominal",AB123/In_Out!W$23,AB119-AB$89)</f>
        <v>0</v>
      </c>
      <c r="AC125" s="40">
        <f>IF(Real_Nom="Nominal",AC123/In_Out!X$23,AC119-AC$89)</f>
        <v>0</v>
      </c>
      <c r="AD125" s="40">
        <f>IF(Real_Nom="Nominal",AD123/In_Out!Y$23,AD119-AD$89)</f>
        <v>0</v>
      </c>
      <c r="AE125" s="40">
        <f>IF(Real_Nom="Nominal",AE123/In_Out!Z$23,AE119-AE$89)</f>
        <v>0</v>
      </c>
      <c r="AF125" s="40">
        <f>IF(Real_Nom="Nominal",AF123/In_Out!AA$23,AF119-AF$89)</f>
        <v>0</v>
      </c>
      <c r="AG125" s="40">
        <f>IF(Real_Nom="Nominal",AG123/In_Out!AB$23,AG119-AG$89)</f>
        <v>0</v>
      </c>
      <c r="AH125" s="40">
        <f>IF(Real_Nom="Nominal",AH123/In_Out!AC$23,AH119-AH$89)</f>
        <v>0</v>
      </c>
      <c r="AI125" s="40">
        <f>IF(Real_Nom="Nominal",AI123/In_Out!AD$23,AI119-AI$89)</f>
        <v>0</v>
      </c>
      <c r="AJ125" s="40">
        <f>IF(Real_Nom="Nominal",AJ123/In_Out!AE$23,AJ119-AJ$89)</f>
        <v>0</v>
      </c>
      <c r="AK125" s="40">
        <f>IF(Real_Nom="Nominal",AK123/In_Out!AE$23,AK119-AK$89)</f>
        <v>0</v>
      </c>
      <c r="AL125" s="3"/>
    </row>
    <row r="126" spans="1:38" hidden="1" outlineLevel="2" x14ac:dyDescent="0.25">
      <c r="A126" s="41" t="e" cm="1">
        <f t="array" ref="A126">SUM(IF($G126:INDEX($G126:$AK126,Life)&gt;0,1))</f>
        <v>#N/A</v>
      </c>
      <c r="B126" s="3" t="s">
        <v>119</v>
      </c>
      <c r="C126" s="52" t="e" cm="1">
        <f t="array" ref="C126">IF($A126&gt;0,IFERROR($A126-INDEX($G126:$AK126,$A126)/(INDEX($G126:$AK126,$A126+1)-INDEX($G126:$AK126,$A126))-1,"Incomplete data"),"Incomplete data")</f>
        <v>#N/A</v>
      </c>
      <c r="D126" s="3" t="s">
        <v>120</v>
      </c>
      <c r="E126" s="3"/>
      <c r="F126" s="3"/>
      <c r="G126" s="40">
        <f>SUM(F126,G125)</f>
        <v>0</v>
      </c>
      <c r="H126" s="40">
        <f t="shared" ref="H126:AK126" si="36">SUM(G126,H125)</f>
        <v>0</v>
      </c>
      <c r="I126" s="40">
        <f t="shared" si="36"/>
        <v>0</v>
      </c>
      <c r="J126" s="40">
        <f t="shared" si="36"/>
        <v>0</v>
      </c>
      <c r="K126" s="40">
        <f t="shared" si="36"/>
        <v>0</v>
      </c>
      <c r="L126" s="40">
        <f t="shared" si="36"/>
        <v>0</v>
      </c>
      <c r="M126" s="40">
        <f t="shared" si="36"/>
        <v>0</v>
      </c>
      <c r="N126" s="40">
        <f t="shared" si="36"/>
        <v>0</v>
      </c>
      <c r="O126" s="40">
        <f t="shared" si="36"/>
        <v>0</v>
      </c>
      <c r="P126" s="40">
        <f t="shared" si="36"/>
        <v>0</v>
      </c>
      <c r="Q126" s="40">
        <f t="shared" si="36"/>
        <v>0</v>
      </c>
      <c r="R126" s="40">
        <f t="shared" si="36"/>
        <v>0</v>
      </c>
      <c r="S126" s="40">
        <f t="shared" si="36"/>
        <v>0</v>
      </c>
      <c r="T126" s="40">
        <f t="shared" si="36"/>
        <v>0</v>
      </c>
      <c r="U126" s="40">
        <f t="shared" si="36"/>
        <v>0</v>
      </c>
      <c r="V126" s="40">
        <f t="shared" si="36"/>
        <v>0</v>
      </c>
      <c r="W126" s="40">
        <f t="shared" si="36"/>
        <v>0</v>
      </c>
      <c r="X126" s="40">
        <f t="shared" si="36"/>
        <v>0</v>
      </c>
      <c r="Y126" s="40">
        <f t="shared" si="36"/>
        <v>0</v>
      </c>
      <c r="Z126" s="40">
        <f t="shared" si="36"/>
        <v>0</v>
      </c>
      <c r="AA126" s="40">
        <f t="shared" si="36"/>
        <v>0</v>
      </c>
      <c r="AB126" s="40">
        <f t="shared" si="36"/>
        <v>0</v>
      </c>
      <c r="AC126" s="40">
        <f t="shared" si="36"/>
        <v>0</v>
      </c>
      <c r="AD126" s="40">
        <f t="shared" si="36"/>
        <v>0</v>
      </c>
      <c r="AE126" s="40">
        <f t="shared" si="36"/>
        <v>0</v>
      </c>
      <c r="AF126" s="40">
        <f t="shared" si="36"/>
        <v>0</v>
      </c>
      <c r="AG126" s="40">
        <f t="shared" si="36"/>
        <v>0</v>
      </c>
      <c r="AH126" s="40">
        <f t="shared" si="36"/>
        <v>0</v>
      </c>
      <c r="AI126" s="40">
        <f t="shared" si="36"/>
        <v>0</v>
      </c>
      <c r="AJ126" s="40">
        <f t="shared" si="36"/>
        <v>0</v>
      </c>
      <c r="AK126" s="40">
        <f t="shared" si="36"/>
        <v>0</v>
      </c>
      <c r="AL126" s="3"/>
    </row>
    <row r="127" spans="1:38" hidden="1" outlineLevel="1" collapsed="1" x14ac:dyDescent="0.25">
      <c r="A127" s="41"/>
      <c r="B127" s="3"/>
      <c r="C127" s="49"/>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idden="1" outlineLevel="1" x14ac:dyDescent="0.25">
      <c r="A128" s="41"/>
      <c r="B128" s="3"/>
      <c r="C128" s="49"/>
      <c r="D128" s="15" t="s">
        <v>123</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idden="1" outlineLevel="1" x14ac:dyDescent="0.25">
      <c r="A129" s="41"/>
      <c r="B129" s="3"/>
      <c r="C129" s="49"/>
      <c r="D129" s="15"/>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idden="1" outlineLevel="1" x14ac:dyDescent="0.25">
      <c r="A130" s="41"/>
      <c r="B130" s="3"/>
      <c r="C130" s="173" t="e">
        <f>SUMPRODUCT(GIDI_funding_Ar,DiscF_Ar)</f>
        <v>#DIV/0!</v>
      </c>
      <c r="D130" s="15" t="s">
        <v>124</v>
      </c>
      <c r="E130" s="3"/>
      <c r="F130" s="3"/>
      <c r="G130" s="3" t="e" cm="1">
        <f t="array" ref="G130">GIDI*MAX(0,G$28)/SUM(IF($G$28:$K$28&gt;0,$G$28:$K$28))</f>
        <v>#DIV/0!</v>
      </c>
      <c r="H130" s="3" t="e" cm="1">
        <f t="array" ref="H130">GIDI*MAX(0,H$28)/SUM(IF($G$28:$K$28&gt;0,$G$28:$K$28))</f>
        <v>#DIV/0!</v>
      </c>
      <c r="I130" s="3" t="e" cm="1">
        <f t="array" ref="I130">GIDI*MAX(0,I$28)/SUM(IF($G$28:$K$28&gt;0,$G$28:$K$28))</f>
        <v>#DIV/0!</v>
      </c>
      <c r="J130" s="3" t="e" cm="1">
        <f t="array" ref="J130">GIDI*MAX(0,J$28)/SUM(IF($G$28:$K$28&gt;0,$G$28:$K$28))</f>
        <v>#DIV/0!</v>
      </c>
      <c r="K130" s="3" t="e" cm="1">
        <f t="array" ref="K130">GIDI*MAX(0,K$28)/SUM(IF($G$28:$K$28&gt;0,$G$28:$K$28))</f>
        <v>#DIV/0!</v>
      </c>
      <c r="L130" s="3">
        <v>0</v>
      </c>
      <c r="M130" s="3">
        <v>0</v>
      </c>
      <c r="N130" s="3">
        <v>0</v>
      </c>
      <c r="O130" s="3">
        <v>0</v>
      </c>
      <c r="P130" s="3">
        <v>0</v>
      </c>
      <c r="Q130" s="3">
        <v>0</v>
      </c>
      <c r="R130" s="3">
        <v>0</v>
      </c>
      <c r="S130" s="3">
        <v>0</v>
      </c>
      <c r="T130" s="3">
        <v>0</v>
      </c>
      <c r="U130" s="3">
        <v>0</v>
      </c>
      <c r="V130" s="3">
        <v>0</v>
      </c>
      <c r="W130" s="3">
        <v>0</v>
      </c>
      <c r="X130" s="3">
        <v>0</v>
      </c>
      <c r="Y130" s="3">
        <v>0</v>
      </c>
      <c r="Z130" s="3">
        <v>0</v>
      </c>
      <c r="AA130" s="3">
        <v>0</v>
      </c>
      <c r="AB130" s="3">
        <v>0</v>
      </c>
      <c r="AC130" s="3">
        <v>0</v>
      </c>
      <c r="AD130" s="3">
        <v>0</v>
      </c>
      <c r="AE130" s="3">
        <v>0</v>
      </c>
      <c r="AF130" s="3">
        <v>0</v>
      </c>
      <c r="AG130" s="3">
        <v>0</v>
      </c>
      <c r="AH130" s="3">
        <v>0</v>
      </c>
      <c r="AI130" s="3">
        <v>0</v>
      </c>
      <c r="AJ130" s="3">
        <v>0</v>
      </c>
      <c r="AK130" s="3">
        <v>0</v>
      </c>
      <c r="AL130" s="3"/>
    </row>
    <row r="131" spans="1:38" hidden="1" outlineLevel="1" x14ac:dyDescent="0.25">
      <c r="A131" s="41"/>
      <c r="B131" s="3"/>
      <c r="C131" s="49"/>
      <c r="D131" s="15"/>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idden="1" outlineLevel="1" x14ac:dyDescent="0.25">
      <c r="A132" s="41"/>
      <c r="B132" s="3"/>
      <c r="C132" s="49"/>
      <c r="D132" s="9" t="s">
        <v>117</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idden="1" outlineLevel="2" x14ac:dyDescent="0.25">
      <c r="A133" s="41"/>
      <c r="B133" s="3" t="s">
        <v>60</v>
      </c>
      <c r="C133" s="51" t="str">
        <f>IF(Real_Nom="Nominal",IFERROR(IRR($G133:INDEX($G133:$AK133,Life+1)),"Incomplete data"),"na")</f>
        <v>na</v>
      </c>
      <c r="D133" s="3" t="s">
        <v>118</v>
      </c>
      <c r="E133" s="3"/>
      <c r="F133" s="3"/>
      <c r="G133" s="40" t="str">
        <f t="shared" ref="G133:AK133" si="37">IF(Real_Nom="Nominal",G117-G$130,"na")</f>
        <v>na</v>
      </c>
      <c r="H133" s="40" t="str">
        <f t="shared" si="37"/>
        <v>na</v>
      </c>
      <c r="I133" s="40" t="str">
        <f t="shared" si="37"/>
        <v>na</v>
      </c>
      <c r="J133" s="40" t="str">
        <f t="shared" si="37"/>
        <v>na</v>
      </c>
      <c r="K133" s="40" t="str">
        <f t="shared" si="37"/>
        <v>na</v>
      </c>
      <c r="L133" s="40" t="str">
        <f t="shared" si="37"/>
        <v>na</v>
      </c>
      <c r="M133" s="40" t="str">
        <f t="shared" si="37"/>
        <v>na</v>
      </c>
      <c r="N133" s="40" t="str">
        <f t="shared" si="37"/>
        <v>na</v>
      </c>
      <c r="O133" s="40" t="str">
        <f t="shared" si="37"/>
        <v>na</v>
      </c>
      <c r="P133" s="40" t="str">
        <f t="shared" si="37"/>
        <v>na</v>
      </c>
      <c r="Q133" s="40" t="str">
        <f t="shared" si="37"/>
        <v>na</v>
      </c>
      <c r="R133" s="40" t="str">
        <f t="shared" si="37"/>
        <v>na</v>
      </c>
      <c r="S133" s="40" t="str">
        <f t="shared" si="37"/>
        <v>na</v>
      </c>
      <c r="T133" s="40" t="str">
        <f t="shared" si="37"/>
        <v>na</v>
      </c>
      <c r="U133" s="40" t="str">
        <f t="shared" si="37"/>
        <v>na</v>
      </c>
      <c r="V133" s="40" t="str">
        <f t="shared" si="37"/>
        <v>na</v>
      </c>
      <c r="W133" s="40" t="str">
        <f t="shared" si="37"/>
        <v>na</v>
      </c>
      <c r="X133" s="40" t="str">
        <f t="shared" si="37"/>
        <v>na</v>
      </c>
      <c r="Y133" s="40" t="str">
        <f t="shared" si="37"/>
        <v>na</v>
      </c>
      <c r="Z133" s="40" t="str">
        <f t="shared" si="37"/>
        <v>na</v>
      </c>
      <c r="AA133" s="40" t="str">
        <f t="shared" si="37"/>
        <v>na</v>
      </c>
      <c r="AB133" s="40" t="str">
        <f t="shared" si="37"/>
        <v>na</v>
      </c>
      <c r="AC133" s="40" t="str">
        <f t="shared" si="37"/>
        <v>na</v>
      </c>
      <c r="AD133" s="40" t="str">
        <f t="shared" si="37"/>
        <v>na</v>
      </c>
      <c r="AE133" s="40" t="str">
        <f t="shared" si="37"/>
        <v>na</v>
      </c>
      <c r="AF133" s="40" t="str">
        <f t="shared" si="37"/>
        <v>na</v>
      </c>
      <c r="AG133" s="40" t="str">
        <f t="shared" si="37"/>
        <v>na</v>
      </c>
      <c r="AH133" s="40" t="str">
        <f t="shared" si="37"/>
        <v>na</v>
      </c>
      <c r="AI133" s="40" t="str">
        <f t="shared" si="37"/>
        <v>na</v>
      </c>
      <c r="AJ133" s="40" t="str">
        <f t="shared" si="37"/>
        <v>na</v>
      </c>
      <c r="AK133" s="40" t="str">
        <f t="shared" si="37"/>
        <v>na</v>
      </c>
      <c r="AL133" s="3"/>
    </row>
    <row r="134" spans="1:38" hidden="1" outlineLevel="2" x14ac:dyDescent="0.25">
      <c r="A134" s="41" t="e" cm="1">
        <f t="array" ref="A134">SUM(IF($G134:INDEX($G134:$AK134,Life)&gt;0,1))</f>
        <v>#N/A</v>
      </c>
      <c r="B134" s="3" t="s">
        <v>119</v>
      </c>
      <c r="C134" s="52" t="str" cm="1">
        <f t="array" ref="C134">IF(Real_Nom="Nominal",IFERROR($A134-INDEX($G134:$AK134,$A134)/(INDEX($G134:$AK134,$A134+1)-INDEX($G134:$AK134,$A134))-1,"Incomplete data"),"na")</f>
        <v>na</v>
      </c>
      <c r="D134" s="3" t="s">
        <v>120</v>
      </c>
      <c r="E134" s="3"/>
      <c r="F134" s="3"/>
      <c r="G134" s="40" t="str">
        <f t="shared" ref="G134:AK134" si="38">IF(Real_Nom="Nominal",SUM(F134,G133),"na")</f>
        <v>na</v>
      </c>
      <c r="H134" s="40" t="str">
        <f t="shared" si="38"/>
        <v>na</v>
      </c>
      <c r="I134" s="40" t="str">
        <f t="shared" si="38"/>
        <v>na</v>
      </c>
      <c r="J134" s="40" t="str">
        <f t="shared" si="38"/>
        <v>na</v>
      </c>
      <c r="K134" s="40" t="str">
        <f t="shared" si="38"/>
        <v>na</v>
      </c>
      <c r="L134" s="40" t="str">
        <f t="shared" si="38"/>
        <v>na</v>
      </c>
      <c r="M134" s="40" t="str">
        <f t="shared" si="38"/>
        <v>na</v>
      </c>
      <c r="N134" s="40" t="str">
        <f t="shared" si="38"/>
        <v>na</v>
      </c>
      <c r="O134" s="40" t="str">
        <f t="shared" si="38"/>
        <v>na</v>
      </c>
      <c r="P134" s="40" t="str">
        <f t="shared" si="38"/>
        <v>na</v>
      </c>
      <c r="Q134" s="40" t="str">
        <f t="shared" si="38"/>
        <v>na</v>
      </c>
      <c r="R134" s="40" t="str">
        <f t="shared" si="38"/>
        <v>na</v>
      </c>
      <c r="S134" s="40" t="str">
        <f t="shared" si="38"/>
        <v>na</v>
      </c>
      <c r="T134" s="40" t="str">
        <f t="shared" si="38"/>
        <v>na</v>
      </c>
      <c r="U134" s="40" t="str">
        <f t="shared" si="38"/>
        <v>na</v>
      </c>
      <c r="V134" s="40" t="str">
        <f t="shared" si="38"/>
        <v>na</v>
      </c>
      <c r="W134" s="40" t="str">
        <f t="shared" si="38"/>
        <v>na</v>
      </c>
      <c r="X134" s="40" t="str">
        <f t="shared" si="38"/>
        <v>na</v>
      </c>
      <c r="Y134" s="40" t="str">
        <f t="shared" si="38"/>
        <v>na</v>
      </c>
      <c r="Z134" s="40" t="str">
        <f t="shared" si="38"/>
        <v>na</v>
      </c>
      <c r="AA134" s="40" t="str">
        <f t="shared" si="38"/>
        <v>na</v>
      </c>
      <c r="AB134" s="40" t="str">
        <f t="shared" si="38"/>
        <v>na</v>
      </c>
      <c r="AC134" s="40" t="str">
        <f t="shared" si="38"/>
        <v>na</v>
      </c>
      <c r="AD134" s="40" t="str">
        <f t="shared" si="38"/>
        <v>na</v>
      </c>
      <c r="AE134" s="40" t="str">
        <f t="shared" si="38"/>
        <v>na</v>
      </c>
      <c r="AF134" s="40" t="str">
        <f t="shared" si="38"/>
        <v>na</v>
      </c>
      <c r="AG134" s="40" t="str">
        <f t="shared" si="38"/>
        <v>na</v>
      </c>
      <c r="AH134" s="40" t="str">
        <f t="shared" si="38"/>
        <v>na</v>
      </c>
      <c r="AI134" s="40" t="str">
        <f t="shared" si="38"/>
        <v>na</v>
      </c>
      <c r="AJ134" s="40" t="str">
        <f t="shared" si="38"/>
        <v>na</v>
      </c>
      <c r="AK134" s="40" t="str">
        <f t="shared" si="38"/>
        <v>na</v>
      </c>
      <c r="AL134" s="3"/>
    </row>
    <row r="135" spans="1:38" hidden="1" outlineLevel="2" x14ac:dyDescent="0.25">
      <c r="A135" s="41"/>
      <c r="B135" s="3" t="s">
        <v>60</v>
      </c>
      <c r="C135" s="51" t="str">
        <f>IFERROR(IRR($G135:INDEX($G135:$AK135,Life+1)),"Incomplete data")</f>
        <v>Incomplete data</v>
      </c>
      <c r="D135" s="3" t="s">
        <v>121</v>
      </c>
      <c r="E135" s="3"/>
      <c r="F135" s="3"/>
      <c r="G135" s="40" t="e">
        <f>IF(Real_Nom="Nominal",G133/In_Out!B$23,G119-G$130)</f>
        <v>#DIV/0!</v>
      </c>
      <c r="H135" s="40" t="e">
        <f>IF(Real_Nom="Nominal",H133/In_Out!C$23,H119-H$130)</f>
        <v>#DIV/0!</v>
      </c>
      <c r="I135" s="40" t="e">
        <f>IF(Real_Nom="Nominal",I133/In_Out!D$23,I119-I$130)</f>
        <v>#DIV/0!</v>
      </c>
      <c r="J135" s="40" t="e">
        <f>IF(Real_Nom="Nominal",J133/In_Out!E$23,J119-J$130)</f>
        <v>#DIV/0!</v>
      </c>
      <c r="K135" s="40" t="e">
        <f>IF(Real_Nom="Nominal",K133/In_Out!F$23,K119-K$130)</f>
        <v>#DIV/0!</v>
      </c>
      <c r="L135" s="40">
        <f>IF(Real_Nom="Nominal",L133/In_Out!G$23,L119-L$130)</f>
        <v>0</v>
      </c>
      <c r="M135" s="40">
        <f>IF(Real_Nom="Nominal",M133/In_Out!H$23,M119-M$130)</f>
        <v>0</v>
      </c>
      <c r="N135" s="40">
        <f>IF(Real_Nom="Nominal",N133/In_Out!I$23,N119-N$130)</f>
        <v>0</v>
      </c>
      <c r="O135" s="40">
        <f>IF(Real_Nom="Nominal",O133/In_Out!J$23,O119-O$130)</f>
        <v>0</v>
      </c>
      <c r="P135" s="40">
        <f>IF(Real_Nom="Nominal",P133/In_Out!K$23,P119-P$130)</f>
        <v>0</v>
      </c>
      <c r="Q135" s="40">
        <f>IF(Real_Nom="Nominal",Q133/In_Out!L$23,Q119-Q$130)</f>
        <v>0</v>
      </c>
      <c r="R135" s="40">
        <f>IF(Real_Nom="Nominal",R133/In_Out!M$23,R119-R$130)</f>
        <v>0</v>
      </c>
      <c r="S135" s="40">
        <f>IF(Real_Nom="Nominal",S133/In_Out!N$23,S119-S$130)</f>
        <v>0</v>
      </c>
      <c r="T135" s="40">
        <f>IF(Real_Nom="Nominal",T133/In_Out!O$23,T119-T$130)</f>
        <v>0</v>
      </c>
      <c r="U135" s="40">
        <f>IF(Real_Nom="Nominal",U133/In_Out!P$23,U119-U$130)</f>
        <v>0</v>
      </c>
      <c r="V135" s="40">
        <f>IF(Real_Nom="Nominal",V133/In_Out!Q$23,V119-V$130)</f>
        <v>0</v>
      </c>
      <c r="W135" s="40">
        <f>IF(Real_Nom="Nominal",W133/In_Out!R$23,W119-W$130)</f>
        <v>0</v>
      </c>
      <c r="X135" s="40">
        <f>IF(Real_Nom="Nominal",X133/In_Out!S$23,X119-X$130)</f>
        <v>0</v>
      </c>
      <c r="Y135" s="40">
        <f>IF(Real_Nom="Nominal",Y133/In_Out!T$23,Y119-Y$130)</f>
        <v>0</v>
      </c>
      <c r="Z135" s="40">
        <f>IF(Real_Nom="Nominal",Z133/In_Out!U$23,Z119-Z$130)</f>
        <v>0</v>
      </c>
      <c r="AA135" s="40">
        <f>IF(Real_Nom="Nominal",AA133/In_Out!V$23,AA119-AA$130)</f>
        <v>0</v>
      </c>
      <c r="AB135" s="40">
        <f>IF(Real_Nom="Nominal",AB133/In_Out!W$23,AB119-AB$130)</f>
        <v>0</v>
      </c>
      <c r="AC135" s="40">
        <f>IF(Real_Nom="Nominal",AC133/In_Out!X$23,AC119-AC$130)</f>
        <v>0</v>
      </c>
      <c r="AD135" s="40">
        <f>IF(Real_Nom="Nominal",AD133/In_Out!Y$23,AD119-AD$130)</f>
        <v>0</v>
      </c>
      <c r="AE135" s="40">
        <f>IF(Real_Nom="Nominal",AE133/In_Out!Z$23,AE119-AE$130)</f>
        <v>0</v>
      </c>
      <c r="AF135" s="40">
        <f>IF(Real_Nom="Nominal",AF133/In_Out!AA$23,AF119-AF$130)</f>
        <v>0</v>
      </c>
      <c r="AG135" s="40">
        <f>IF(Real_Nom="Nominal",AG133/In_Out!AB$23,AG119-AG$130)</f>
        <v>0</v>
      </c>
      <c r="AH135" s="40">
        <f>IF(Real_Nom="Nominal",AH133/In_Out!AC$23,AH119-AH$130)</f>
        <v>0</v>
      </c>
      <c r="AI135" s="40">
        <f>IF(Real_Nom="Nominal",AI133/In_Out!AD$23,AI119-AI$130)</f>
        <v>0</v>
      </c>
      <c r="AJ135" s="40">
        <f>IF(Real_Nom="Nominal",AJ133/In_Out!AE$23,AJ119-AJ$130)</f>
        <v>0</v>
      </c>
      <c r="AK135" s="40">
        <f>IF(Real_Nom="Nominal",AK133/In_Out!AE$23,AK119-AK$130)</f>
        <v>0</v>
      </c>
      <c r="AL135" s="3"/>
    </row>
    <row r="136" spans="1:38" hidden="1" outlineLevel="2" x14ac:dyDescent="0.25">
      <c r="A136" s="41" t="e" cm="1">
        <f t="array" ref="A136">SUM(IF($G136:INDEX($G136:$AK136,Life)&gt;0,1))</f>
        <v>#N/A</v>
      </c>
      <c r="B136" s="3" t="s">
        <v>119</v>
      </c>
      <c r="C136" s="52" t="e" cm="1">
        <f t="array" ref="C136">IF($A136&gt;0,IFERROR($A136-INDEX($G136:$AK136,$A136)/(INDEX($G136:$AK136,$A136+1)-INDEX($G136:$AK136,$A136))-1,"Incomplete data"),"Incomplete data")</f>
        <v>#N/A</v>
      </c>
      <c r="D136" s="3" t="s">
        <v>120</v>
      </c>
      <c r="E136" s="3"/>
      <c r="F136" s="3"/>
      <c r="G136" s="40" t="e">
        <f t="shared" ref="G136" si="39">SUM(F136,G135)</f>
        <v>#DIV/0!</v>
      </c>
      <c r="H136" s="40" t="e">
        <f t="shared" ref="H136" si="40">SUM(G136,H135)</f>
        <v>#DIV/0!</v>
      </c>
      <c r="I136" s="40" t="e">
        <f t="shared" ref="I136" si="41">SUM(H136,I135)</f>
        <v>#DIV/0!</v>
      </c>
      <c r="J136" s="40" t="e">
        <f t="shared" ref="J136" si="42">SUM(I136,J135)</f>
        <v>#DIV/0!</v>
      </c>
      <c r="K136" s="40" t="e">
        <f t="shared" ref="K136" si="43">SUM(J136,K135)</f>
        <v>#DIV/0!</v>
      </c>
      <c r="L136" s="40" t="e">
        <f t="shared" ref="L136" si="44">SUM(K136,L135)</f>
        <v>#DIV/0!</v>
      </c>
      <c r="M136" s="40" t="e">
        <f>SUM(L136,M135)</f>
        <v>#DIV/0!</v>
      </c>
      <c r="N136" s="40" t="e">
        <f t="shared" ref="N136" si="45">SUM(M136,N135)</f>
        <v>#DIV/0!</v>
      </c>
      <c r="O136" s="40" t="e">
        <f t="shared" ref="O136" si="46">SUM(N136,O135)</f>
        <v>#DIV/0!</v>
      </c>
      <c r="P136" s="40" t="e">
        <f t="shared" ref="P136" si="47">SUM(O136,P135)</f>
        <v>#DIV/0!</v>
      </c>
      <c r="Q136" s="40" t="e">
        <f t="shared" ref="Q136" si="48">SUM(P136,Q135)</f>
        <v>#DIV/0!</v>
      </c>
      <c r="R136" s="40" t="e">
        <f t="shared" ref="R136" si="49">SUM(Q136,R135)</f>
        <v>#DIV/0!</v>
      </c>
      <c r="S136" s="40" t="e">
        <f t="shared" ref="S136" si="50">SUM(R136,S135)</f>
        <v>#DIV/0!</v>
      </c>
      <c r="T136" s="40" t="e">
        <f t="shared" ref="T136" si="51">SUM(S136,T135)</f>
        <v>#DIV/0!</v>
      </c>
      <c r="U136" s="40" t="e">
        <f t="shared" ref="U136" si="52">SUM(T136,U135)</f>
        <v>#DIV/0!</v>
      </c>
      <c r="V136" s="40" t="e">
        <f t="shared" ref="V136" si="53">SUM(U136,V135)</f>
        <v>#DIV/0!</v>
      </c>
      <c r="W136" s="40" t="e">
        <f t="shared" ref="W136" si="54">SUM(V136,W135)</f>
        <v>#DIV/0!</v>
      </c>
      <c r="X136" s="40" t="e">
        <f t="shared" ref="X136" si="55">SUM(W136,X135)</f>
        <v>#DIV/0!</v>
      </c>
      <c r="Y136" s="40" t="e">
        <f t="shared" ref="Y136" si="56">SUM(X136,Y135)</f>
        <v>#DIV/0!</v>
      </c>
      <c r="Z136" s="40" t="e">
        <f t="shared" ref="Z136" si="57">SUM(Y136,Z135)</f>
        <v>#DIV/0!</v>
      </c>
      <c r="AA136" s="40" t="e">
        <f t="shared" ref="AA136" si="58">SUM(Z136,AA135)</f>
        <v>#DIV/0!</v>
      </c>
      <c r="AB136" s="40" t="e">
        <f t="shared" ref="AB136" si="59">SUM(AA136,AB135)</f>
        <v>#DIV/0!</v>
      </c>
      <c r="AC136" s="40" t="e">
        <f t="shared" ref="AC136" si="60">SUM(AB136,AC135)</f>
        <v>#DIV/0!</v>
      </c>
      <c r="AD136" s="40" t="e">
        <f t="shared" ref="AD136" si="61">SUM(AC136,AD135)</f>
        <v>#DIV/0!</v>
      </c>
      <c r="AE136" s="40" t="e">
        <f t="shared" ref="AE136" si="62">SUM(AD136,AE135)</f>
        <v>#DIV/0!</v>
      </c>
      <c r="AF136" s="40" t="e">
        <f t="shared" ref="AF136" si="63">SUM(AE136,AF135)</f>
        <v>#DIV/0!</v>
      </c>
      <c r="AG136" s="40" t="e">
        <f t="shared" ref="AG136" si="64">SUM(AF136,AG135)</f>
        <v>#DIV/0!</v>
      </c>
      <c r="AH136" s="40" t="e">
        <f t="shared" ref="AH136" si="65">SUM(AG136,AH135)</f>
        <v>#DIV/0!</v>
      </c>
      <c r="AI136" s="40" t="e">
        <f t="shared" ref="AI136" si="66">SUM(AH136,AI135)</f>
        <v>#DIV/0!</v>
      </c>
      <c r="AJ136" s="40" t="e">
        <f t="shared" ref="AJ136" si="67">SUM(AI136,AJ135)</f>
        <v>#DIV/0!</v>
      </c>
      <c r="AK136" s="40" t="e">
        <f t="shared" ref="AK136" si="68">SUM(AJ136,AK135)</f>
        <v>#DIV/0!</v>
      </c>
      <c r="AL136" s="3"/>
    </row>
    <row r="137" spans="1:38" hidden="1" outlineLevel="1" collapsed="1" x14ac:dyDescent="0.25">
      <c r="A137" s="41"/>
      <c r="B137" s="3"/>
      <c r="C137" s="49"/>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idden="1" outlineLevel="1" x14ac:dyDescent="0.25">
      <c r="A138" s="41"/>
      <c r="B138" s="3"/>
      <c r="C138" s="49"/>
      <c r="D138" s="9" t="s">
        <v>122</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idden="1" outlineLevel="2" x14ac:dyDescent="0.25">
      <c r="A139" s="41"/>
      <c r="B139" s="3" t="s">
        <v>60</v>
      </c>
      <c r="C139" s="51" t="str">
        <f>IF(Real_Nom="Nominal",IFERROR(IRR($G139:INDEX($G139:$AK139,Life+1)),"Incomplete data"),"na")</f>
        <v>na</v>
      </c>
      <c r="D139" s="3" t="s">
        <v>118</v>
      </c>
      <c r="E139" s="3"/>
      <c r="F139" s="3"/>
      <c r="G139" s="40" t="str">
        <f t="shared" ref="G139:AK139" si="69">IF(Real_Nom="Nominal",G133-G$89,"na")</f>
        <v>na</v>
      </c>
      <c r="H139" s="40" t="str">
        <f t="shared" si="69"/>
        <v>na</v>
      </c>
      <c r="I139" s="40" t="str">
        <f t="shared" si="69"/>
        <v>na</v>
      </c>
      <c r="J139" s="40" t="str">
        <f t="shared" si="69"/>
        <v>na</v>
      </c>
      <c r="K139" s="40" t="str">
        <f t="shared" si="69"/>
        <v>na</v>
      </c>
      <c r="L139" s="40" t="str">
        <f t="shared" si="69"/>
        <v>na</v>
      </c>
      <c r="M139" s="40" t="str">
        <f t="shared" si="69"/>
        <v>na</v>
      </c>
      <c r="N139" s="40" t="str">
        <f t="shared" si="69"/>
        <v>na</v>
      </c>
      <c r="O139" s="40" t="str">
        <f t="shared" si="69"/>
        <v>na</v>
      </c>
      <c r="P139" s="40" t="str">
        <f t="shared" si="69"/>
        <v>na</v>
      </c>
      <c r="Q139" s="40" t="str">
        <f t="shared" si="69"/>
        <v>na</v>
      </c>
      <c r="R139" s="40" t="str">
        <f t="shared" si="69"/>
        <v>na</v>
      </c>
      <c r="S139" s="40" t="str">
        <f t="shared" si="69"/>
        <v>na</v>
      </c>
      <c r="T139" s="40" t="str">
        <f t="shared" si="69"/>
        <v>na</v>
      </c>
      <c r="U139" s="40" t="str">
        <f t="shared" si="69"/>
        <v>na</v>
      </c>
      <c r="V139" s="40" t="str">
        <f t="shared" si="69"/>
        <v>na</v>
      </c>
      <c r="W139" s="40" t="str">
        <f t="shared" si="69"/>
        <v>na</v>
      </c>
      <c r="X139" s="40" t="str">
        <f t="shared" si="69"/>
        <v>na</v>
      </c>
      <c r="Y139" s="40" t="str">
        <f t="shared" si="69"/>
        <v>na</v>
      </c>
      <c r="Z139" s="40" t="str">
        <f t="shared" si="69"/>
        <v>na</v>
      </c>
      <c r="AA139" s="40" t="str">
        <f t="shared" si="69"/>
        <v>na</v>
      </c>
      <c r="AB139" s="40" t="str">
        <f t="shared" si="69"/>
        <v>na</v>
      </c>
      <c r="AC139" s="40" t="str">
        <f t="shared" si="69"/>
        <v>na</v>
      </c>
      <c r="AD139" s="40" t="str">
        <f t="shared" si="69"/>
        <v>na</v>
      </c>
      <c r="AE139" s="40" t="str">
        <f t="shared" si="69"/>
        <v>na</v>
      </c>
      <c r="AF139" s="40" t="str">
        <f t="shared" si="69"/>
        <v>na</v>
      </c>
      <c r="AG139" s="40" t="str">
        <f t="shared" si="69"/>
        <v>na</v>
      </c>
      <c r="AH139" s="40" t="str">
        <f t="shared" si="69"/>
        <v>na</v>
      </c>
      <c r="AI139" s="40" t="str">
        <f t="shared" si="69"/>
        <v>na</v>
      </c>
      <c r="AJ139" s="40" t="str">
        <f t="shared" si="69"/>
        <v>na</v>
      </c>
      <c r="AK139" s="40" t="str">
        <f t="shared" si="69"/>
        <v>na</v>
      </c>
      <c r="AL139" s="3"/>
    </row>
    <row r="140" spans="1:38" hidden="1" outlineLevel="2" x14ac:dyDescent="0.25">
      <c r="A140" s="41" t="e" cm="1">
        <f t="array" ref="A140">SUM(IF($G140:INDEX($G140:$AK140,Life)&gt;0,1))</f>
        <v>#N/A</v>
      </c>
      <c r="B140" s="3" t="s">
        <v>119</v>
      </c>
      <c r="C140" s="52" t="str" cm="1">
        <f t="array" ref="C140">IF(Real_Nom="Nominal",IFERROR($A140-INDEX($G140:$AK140,$A140)/(INDEX($G140:$AK140,$A140+1)-INDEX($G140:$AK140,$A140))-1,"Incomplete data"),"na")</f>
        <v>na</v>
      </c>
      <c r="D140" s="3" t="s">
        <v>120</v>
      </c>
      <c r="E140" s="3"/>
      <c r="F140" s="3"/>
      <c r="G140" s="40" t="str">
        <f t="shared" ref="G140:AK140" si="70">IF(Real_Nom="Nominal",SUM(F140,G139),"na")</f>
        <v>na</v>
      </c>
      <c r="H140" s="40" t="str">
        <f t="shared" si="70"/>
        <v>na</v>
      </c>
      <c r="I140" s="40" t="str">
        <f t="shared" si="70"/>
        <v>na</v>
      </c>
      <c r="J140" s="40" t="str">
        <f t="shared" si="70"/>
        <v>na</v>
      </c>
      <c r="K140" s="40" t="str">
        <f t="shared" si="70"/>
        <v>na</v>
      </c>
      <c r="L140" s="40" t="str">
        <f t="shared" si="70"/>
        <v>na</v>
      </c>
      <c r="M140" s="40" t="str">
        <f t="shared" si="70"/>
        <v>na</v>
      </c>
      <c r="N140" s="40" t="str">
        <f t="shared" si="70"/>
        <v>na</v>
      </c>
      <c r="O140" s="40" t="str">
        <f t="shared" si="70"/>
        <v>na</v>
      </c>
      <c r="P140" s="40" t="str">
        <f t="shared" si="70"/>
        <v>na</v>
      </c>
      <c r="Q140" s="40" t="str">
        <f t="shared" si="70"/>
        <v>na</v>
      </c>
      <c r="R140" s="40" t="str">
        <f t="shared" si="70"/>
        <v>na</v>
      </c>
      <c r="S140" s="40" t="str">
        <f t="shared" si="70"/>
        <v>na</v>
      </c>
      <c r="T140" s="40" t="str">
        <f t="shared" si="70"/>
        <v>na</v>
      </c>
      <c r="U140" s="40" t="str">
        <f t="shared" si="70"/>
        <v>na</v>
      </c>
      <c r="V140" s="40" t="str">
        <f t="shared" si="70"/>
        <v>na</v>
      </c>
      <c r="W140" s="40" t="str">
        <f t="shared" si="70"/>
        <v>na</v>
      </c>
      <c r="X140" s="40" t="str">
        <f t="shared" si="70"/>
        <v>na</v>
      </c>
      <c r="Y140" s="40" t="str">
        <f t="shared" si="70"/>
        <v>na</v>
      </c>
      <c r="Z140" s="40" t="str">
        <f t="shared" si="70"/>
        <v>na</v>
      </c>
      <c r="AA140" s="40" t="str">
        <f t="shared" si="70"/>
        <v>na</v>
      </c>
      <c r="AB140" s="40" t="str">
        <f t="shared" si="70"/>
        <v>na</v>
      </c>
      <c r="AC140" s="40" t="str">
        <f t="shared" si="70"/>
        <v>na</v>
      </c>
      <c r="AD140" s="40" t="str">
        <f t="shared" si="70"/>
        <v>na</v>
      </c>
      <c r="AE140" s="40" t="str">
        <f t="shared" si="70"/>
        <v>na</v>
      </c>
      <c r="AF140" s="40" t="str">
        <f t="shared" si="70"/>
        <v>na</v>
      </c>
      <c r="AG140" s="40" t="str">
        <f t="shared" si="70"/>
        <v>na</v>
      </c>
      <c r="AH140" s="40" t="str">
        <f t="shared" si="70"/>
        <v>na</v>
      </c>
      <c r="AI140" s="40" t="str">
        <f t="shared" si="70"/>
        <v>na</v>
      </c>
      <c r="AJ140" s="40" t="str">
        <f t="shared" si="70"/>
        <v>na</v>
      </c>
      <c r="AK140" s="40" t="str">
        <f t="shared" si="70"/>
        <v>na</v>
      </c>
      <c r="AL140" s="3"/>
    </row>
    <row r="141" spans="1:38" hidden="1" outlineLevel="2" x14ac:dyDescent="0.25">
      <c r="A141" s="41"/>
      <c r="B141" s="3" t="s">
        <v>60</v>
      </c>
      <c r="C141" s="51" t="str">
        <f>IFERROR(IRR($G141:INDEX($G141:$AK141,Life+1)),"Incomplete data")</f>
        <v>Incomplete data</v>
      </c>
      <c r="D141" s="3" t="s">
        <v>121</v>
      </c>
      <c r="E141" s="3"/>
      <c r="F141" s="3"/>
      <c r="G141" s="40" t="e">
        <f>IF(Real_Nom="Nominal",G139/In_Out!B$23,G135-G$89)</f>
        <v>#DIV/0!</v>
      </c>
      <c r="H141" s="40" t="e">
        <f>IF(Real_Nom="Nominal",H139/In_Out!C$23,H135-H$89)</f>
        <v>#DIV/0!</v>
      </c>
      <c r="I141" s="40" t="e">
        <f>IF(Real_Nom="Nominal",I139/In_Out!D$23,I135-I$89)</f>
        <v>#DIV/0!</v>
      </c>
      <c r="J141" s="40" t="e">
        <f>IF(Real_Nom="Nominal",J139/In_Out!E$23,J135-J$89)</f>
        <v>#DIV/0!</v>
      </c>
      <c r="K141" s="40" t="e">
        <f>IF(Real_Nom="Nominal",K139/In_Out!F$23,K135-K$89)</f>
        <v>#DIV/0!</v>
      </c>
      <c r="L141" s="40">
        <f>IF(Real_Nom="Nominal",L139/In_Out!G$23,L135-L$89)</f>
        <v>0</v>
      </c>
      <c r="M141" s="40">
        <f>IF(Real_Nom="Nominal",M139/In_Out!H$23,M135-M$89)</f>
        <v>0</v>
      </c>
      <c r="N141" s="40">
        <f>IF(Real_Nom="Nominal",N139/In_Out!I$23,N135-N$89)</f>
        <v>0</v>
      </c>
      <c r="O141" s="40">
        <f>IF(Real_Nom="Nominal",O139/In_Out!J$23,O135-O$89)</f>
        <v>0</v>
      </c>
      <c r="P141" s="40">
        <f>IF(Real_Nom="Nominal",P139/In_Out!K$23,P135-P$89)</f>
        <v>0</v>
      </c>
      <c r="Q141" s="40">
        <f>IF(Real_Nom="Nominal",Q139/In_Out!L$23,Q135-Q$89)</f>
        <v>0</v>
      </c>
      <c r="R141" s="40">
        <f>IF(Real_Nom="Nominal",R139/In_Out!M$23,R135-R$89)</f>
        <v>0</v>
      </c>
      <c r="S141" s="40">
        <f>IF(Real_Nom="Nominal",S139/In_Out!N$23,S135-S$89)</f>
        <v>0</v>
      </c>
      <c r="T141" s="40">
        <f>IF(Real_Nom="Nominal",T139/In_Out!O$23,T135-T$89)</f>
        <v>0</v>
      </c>
      <c r="U141" s="40">
        <f>IF(Real_Nom="Nominal",U139/In_Out!P$23,U135-U$89)</f>
        <v>0</v>
      </c>
      <c r="V141" s="40">
        <f>IF(Real_Nom="Nominal",V139/In_Out!Q$23,V135-V$89)</f>
        <v>0</v>
      </c>
      <c r="W141" s="40">
        <f>IF(Real_Nom="Nominal",W139/In_Out!R$23,W135-W$89)</f>
        <v>0</v>
      </c>
      <c r="X141" s="40">
        <f>IF(Real_Nom="Nominal",X139/In_Out!S$23,X135-X$89)</f>
        <v>0</v>
      </c>
      <c r="Y141" s="40">
        <f>IF(Real_Nom="Nominal",Y139/In_Out!T$23,Y135-Y$89)</f>
        <v>0</v>
      </c>
      <c r="Z141" s="40">
        <f>IF(Real_Nom="Nominal",Z139/In_Out!U$23,Z135-Z$89)</f>
        <v>0</v>
      </c>
      <c r="AA141" s="40">
        <f>IF(Real_Nom="Nominal",AA139/In_Out!V$23,AA135-AA$89)</f>
        <v>0</v>
      </c>
      <c r="AB141" s="40">
        <f>IF(Real_Nom="Nominal",AB139/In_Out!W$23,AB135-AB$89)</f>
        <v>0</v>
      </c>
      <c r="AC141" s="40">
        <f>IF(Real_Nom="Nominal",AC139/In_Out!X$23,AC135-AC$89)</f>
        <v>0</v>
      </c>
      <c r="AD141" s="40">
        <f>IF(Real_Nom="Nominal",AD139/In_Out!Y$23,AD135-AD$89)</f>
        <v>0</v>
      </c>
      <c r="AE141" s="40">
        <f>IF(Real_Nom="Nominal",AE139/In_Out!Z$23,AE135-AE$89)</f>
        <v>0</v>
      </c>
      <c r="AF141" s="40">
        <f>IF(Real_Nom="Nominal",AF139/In_Out!AA$23,AF135-AF$89)</f>
        <v>0</v>
      </c>
      <c r="AG141" s="40">
        <f>IF(Real_Nom="Nominal",AG139/In_Out!AB$23,AG135-AG$89)</f>
        <v>0</v>
      </c>
      <c r="AH141" s="40">
        <f>IF(Real_Nom="Nominal",AH139/In_Out!AC$23,AH135-AH$89)</f>
        <v>0</v>
      </c>
      <c r="AI141" s="40">
        <f>IF(Real_Nom="Nominal",AI139/In_Out!AD$23,AI135-AI$89)</f>
        <v>0</v>
      </c>
      <c r="AJ141" s="40">
        <f>IF(Real_Nom="Nominal",AJ139/In_Out!AE$23,AJ135-AJ$89)</f>
        <v>0</v>
      </c>
      <c r="AK141" s="40">
        <f>IF(Real_Nom="Nominal",AK139/In_Out!AE$23,AK135-AK$89)</f>
        <v>0</v>
      </c>
      <c r="AL141" s="3"/>
    </row>
    <row r="142" spans="1:38" hidden="1" outlineLevel="2" x14ac:dyDescent="0.25">
      <c r="A142" s="41" t="e" cm="1">
        <f t="array" ref="A142">SUM(IF($G142:INDEX($G142:$AK142,Life)&gt;0,1))</f>
        <v>#N/A</v>
      </c>
      <c r="B142" s="3" t="s">
        <v>119</v>
      </c>
      <c r="C142" s="52" t="e" cm="1">
        <f t="array" ref="C142">IF($A142&gt;0,IFERROR($A142-INDEX($G142:$AK142,$A142)/(INDEX($G142:$AK142,$A142+1)-INDEX($G142:$AK142,$A142))-1,"Incomplete data"),"Incomplete data")</f>
        <v>#N/A</v>
      </c>
      <c r="D142" s="3" t="s">
        <v>120</v>
      </c>
      <c r="E142" s="3"/>
      <c r="F142" s="3"/>
      <c r="G142" s="40" t="e">
        <f>SUM(F142,G141)</f>
        <v>#DIV/0!</v>
      </c>
      <c r="H142" s="40" t="e">
        <f t="shared" ref="H142" si="71">SUM(G142,H141)</f>
        <v>#DIV/0!</v>
      </c>
      <c r="I142" s="40" t="e">
        <f t="shared" ref="I142" si="72">SUM(H142,I141)</f>
        <v>#DIV/0!</v>
      </c>
      <c r="J142" s="40" t="e">
        <f t="shared" ref="J142" si="73">SUM(I142,J141)</f>
        <v>#DIV/0!</v>
      </c>
      <c r="K142" s="40" t="e">
        <f t="shared" ref="K142" si="74">SUM(J142,K141)</f>
        <v>#DIV/0!</v>
      </c>
      <c r="L142" s="40" t="e">
        <f t="shared" ref="L142" si="75">SUM(K142,L141)</f>
        <v>#DIV/0!</v>
      </c>
      <c r="M142" s="40" t="e">
        <f t="shared" ref="M142" si="76">SUM(L142,M141)</f>
        <v>#DIV/0!</v>
      </c>
      <c r="N142" s="40" t="e">
        <f t="shared" ref="N142" si="77">SUM(M142,N141)</f>
        <v>#DIV/0!</v>
      </c>
      <c r="O142" s="40" t="e">
        <f t="shared" ref="O142" si="78">SUM(N142,O141)</f>
        <v>#DIV/0!</v>
      </c>
      <c r="P142" s="40" t="e">
        <f t="shared" ref="P142" si="79">SUM(O142,P141)</f>
        <v>#DIV/0!</v>
      </c>
      <c r="Q142" s="40" t="e">
        <f t="shared" ref="Q142" si="80">SUM(P142,Q141)</f>
        <v>#DIV/0!</v>
      </c>
      <c r="R142" s="40" t="e">
        <f t="shared" ref="R142" si="81">SUM(Q142,R141)</f>
        <v>#DIV/0!</v>
      </c>
      <c r="S142" s="40" t="e">
        <f t="shared" ref="S142" si="82">SUM(R142,S141)</f>
        <v>#DIV/0!</v>
      </c>
      <c r="T142" s="40" t="e">
        <f t="shared" ref="T142" si="83">SUM(S142,T141)</f>
        <v>#DIV/0!</v>
      </c>
      <c r="U142" s="40" t="e">
        <f t="shared" ref="U142" si="84">SUM(T142,U141)</f>
        <v>#DIV/0!</v>
      </c>
      <c r="V142" s="40" t="e">
        <f t="shared" ref="V142" si="85">SUM(U142,V141)</f>
        <v>#DIV/0!</v>
      </c>
      <c r="W142" s="40" t="e">
        <f t="shared" ref="W142" si="86">SUM(V142,W141)</f>
        <v>#DIV/0!</v>
      </c>
      <c r="X142" s="40" t="e">
        <f t="shared" ref="X142" si="87">SUM(W142,X141)</f>
        <v>#DIV/0!</v>
      </c>
      <c r="Y142" s="40" t="e">
        <f t="shared" ref="Y142" si="88">SUM(X142,Y141)</f>
        <v>#DIV/0!</v>
      </c>
      <c r="Z142" s="40" t="e">
        <f t="shared" ref="Z142" si="89">SUM(Y142,Z141)</f>
        <v>#DIV/0!</v>
      </c>
      <c r="AA142" s="40" t="e">
        <f t="shared" ref="AA142" si="90">SUM(Z142,AA141)</f>
        <v>#DIV/0!</v>
      </c>
      <c r="AB142" s="40" t="e">
        <f t="shared" ref="AB142" si="91">SUM(AA142,AB141)</f>
        <v>#DIV/0!</v>
      </c>
      <c r="AC142" s="40" t="e">
        <f t="shared" ref="AC142" si="92">SUM(AB142,AC141)</f>
        <v>#DIV/0!</v>
      </c>
      <c r="AD142" s="40" t="e">
        <f t="shared" ref="AD142" si="93">SUM(AC142,AD141)</f>
        <v>#DIV/0!</v>
      </c>
      <c r="AE142" s="40" t="e">
        <f t="shared" ref="AE142" si="94">SUM(AD142,AE141)</f>
        <v>#DIV/0!</v>
      </c>
      <c r="AF142" s="40" t="e">
        <f t="shared" ref="AF142" si="95">SUM(AE142,AF141)</f>
        <v>#DIV/0!</v>
      </c>
      <c r="AG142" s="40" t="e">
        <f t="shared" ref="AG142" si="96">SUM(AF142,AG141)</f>
        <v>#DIV/0!</v>
      </c>
      <c r="AH142" s="40" t="e">
        <f t="shared" ref="AH142" si="97">SUM(AG142,AH141)</f>
        <v>#DIV/0!</v>
      </c>
      <c r="AI142" s="40" t="e">
        <f t="shared" ref="AI142" si="98">SUM(AH142,AI141)</f>
        <v>#DIV/0!</v>
      </c>
      <c r="AJ142" s="40" t="e">
        <f t="shared" ref="AJ142" si="99">SUM(AI142,AJ141)</f>
        <v>#DIV/0!</v>
      </c>
      <c r="AK142" s="40" t="e">
        <f t="shared" ref="AK142" si="100">SUM(AJ142,AK141)</f>
        <v>#DIV/0!</v>
      </c>
      <c r="AL142" s="3"/>
    </row>
    <row r="143" spans="1:38" hidden="1" outlineLevel="1" collapsed="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collapsed="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8.75" x14ac:dyDescent="0.3">
      <c r="A145" s="3"/>
      <c r="B145" s="3"/>
      <c r="C145" s="3"/>
      <c r="D145" s="8" t="s">
        <v>125</v>
      </c>
      <c r="E145" s="3"/>
      <c r="F145" s="6"/>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x14ac:dyDescent="0.25">
      <c r="A146" s="3"/>
      <c r="B146" s="3"/>
      <c r="C146" s="3"/>
      <c r="D146" s="3" t="s">
        <v>126</v>
      </c>
      <c r="E146" s="53"/>
      <c r="F146" s="53"/>
      <c r="G146" s="53" t="str">
        <f>IFERROR(IF(SUM($E$147:$F$147)&gt;0,IF($F$147&gt;0,"You haven't entered corresponding fuel entries in the 2b) Fuel Opex and 3) Energy consumption sections.  ","")&amp;IF($E$147&gt;0,"You have entered the fuel units incorrectly",""),"OK"),
"You have typed a value in 2b) Fuel opex or 3) Fuel consumption which isn't in one of the drop-down menus - or you have entered a blank value rather than left the cell value as '&lt;Select&gt;'")</f>
        <v>OK</v>
      </c>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x14ac:dyDescent="0.25">
      <c r="A147" s="3"/>
      <c r="B147" s="3"/>
      <c r="C147" s="3"/>
      <c r="D147" s="3"/>
      <c r="E147" s="142">
        <f>8-SUM(COUNTIFS($B$99:$B$109,"=."),COUNTIFS($B$99:$B$109,"=OK"))</f>
        <v>0</v>
      </c>
      <c r="F147" s="142">
        <f>SUM($A$54:$A$68,$A$99:$A$109)</f>
        <v>0</v>
      </c>
      <c r="G147" s="6"/>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7.25" hidden="1" x14ac:dyDescent="0.3">
      <c r="A148" s="3"/>
      <c r="B148" s="3"/>
      <c r="C148" s="3"/>
      <c r="D148" s="117" t="s">
        <v>127</v>
      </c>
      <c r="E148" s="6"/>
      <c r="F148" s="6"/>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idden="1" outlineLevel="1" x14ac:dyDescent="0.25">
      <c r="A149" s="3"/>
      <c r="B149" s="3"/>
      <c r="C149" s="3"/>
      <c r="D149" s="9" t="s">
        <v>128</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idden="1" outlineLevel="2" x14ac:dyDescent="0.25">
      <c r="A150" s="41">
        <v>1</v>
      </c>
      <c r="B150" s="41" t="e">
        <f>_xlfn.XMATCH(_xlfn.XLOOKUP($A150,$B$54:$B$68,$D$54:$D$68),Fuel_Opex_Type_PP_Ar)</f>
        <v>#N/A</v>
      </c>
      <c r="C150" s="41" t="e">
        <f>_xlfn.XMATCH(_xlfn.XLOOKUP($A150,$B$54:$B$68,$C$54:$C$68),Fuel_Type_PP_Ar)</f>
        <v>#N/A</v>
      </c>
      <c r="D150" s="3" t="str">
        <f>IFERROR(_xlfn.XLOOKUP($A150,$B$54:$B$68,$D$54:$D$68),"na")</f>
        <v>na</v>
      </c>
      <c r="E150" s="3" t="str" cm="1">
        <f t="array" ref="E150">IF(ISERROR($C150),".","$/"&amp;INDEX($C$99:$C$102,$C150))</f>
        <v>.</v>
      </c>
      <c r="F150" s="42" t="str">
        <f>IF(ISERROR(C150),"na","PP")</f>
        <v>na</v>
      </c>
      <c r="G150" s="144" t="str" cm="1">
        <f t="array" ref="G150">IF(ISERROR($B150),"na",IFERROR(INDEX(G$54:G$59,$B150)/INDEX(G$99:G$102,$C150),"."))</f>
        <v>na</v>
      </c>
      <c r="H150" s="144" t="str" cm="1">
        <f t="array" ref="H150">IF(ISERROR($B150),"na",IFERROR(INDEX(H$54:H$59,$B150)/INDEX(H$99:H$102,$C150),"."))</f>
        <v>na</v>
      </c>
      <c r="I150" s="144" t="str" cm="1">
        <f t="array" ref="I150">IF(ISERROR($B150),"na",IFERROR(INDEX(I$54:I$59,$B150)/INDEX(I$99:I$102,$C150),"."))</f>
        <v>na</v>
      </c>
      <c r="J150" s="144" t="str" cm="1">
        <f t="array" ref="J150">IF(ISERROR($B150),"na",IFERROR(INDEX(J$54:J$59,$B150)/INDEX(J$99:J$102,$C150),"."))</f>
        <v>na</v>
      </c>
      <c r="K150" s="144" t="str" cm="1">
        <f t="array" ref="K150">IF(ISERROR($B150),"na",IFERROR(INDEX(K$54:K$59,$B150)/INDEX(K$99:K$102,$C150),"."))</f>
        <v>na</v>
      </c>
      <c r="L150" s="144" t="str" cm="1">
        <f t="array" ref="L150">IF(ISERROR($B150),"na",IFERROR(INDEX(L$54:L$59,$B150)/INDEX(L$99:L$102,$C150),"."))</f>
        <v>na</v>
      </c>
      <c r="M150" s="144" t="str" cm="1">
        <f t="array" ref="M150">IF(ISERROR($B150),"na",IFERROR(INDEX(M$54:M$59,$B150)/INDEX(M$99:M$102,$C150),"."))</f>
        <v>na</v>
      </c>
      <c r="N150" s="144" t="str" cm="1">
        <f t="array" ref="N150">IF(ISERROR($B150),"na",IFERROR(INDEX(N$54:N$59,$B150)/INDEX(N$99:N$102,$C150),"."))</f>
        <v>na</v>
      </c>
      <c r="O150" s="144" t="str" cm="1">
        <f t="array" ref="O150">IF(ISERROR($B150),"na",IFERROR(INDEX(O$54:O$59,$B150)/INDEX(O$99:O$102,$C150),"."))</f>
        <v>na</v>
      </c>
      <c r="P150" s="144" t="str" cm="1">
        <f t="array" ref="P150">IF(ISERROR($B150),"na",IFERROR(INDEX(P$54:P$59,$B150)/INDEX(P$99:P$102,$C150),"."))</f>
        <v>na</v>
      </c>
      <c r="Q150" s="144" t="str" cm="1">
        <f t="array" ref="Q150">IF(ISERROR($B150),"na",IFERROR(INDEX(Q$54:Q$59,$B150)/INDEX(Q$99:Q$102,$C150),"."))</f>
        <v>na</v>
      </c>
      <c r="R150" s="144" t="str" cm="1">
        <f t="array" ref="R150">IF(ISERROR($B150),"na",IFERROR(INDEX(R$54:R$59,$B150)/INDEX(R$99:R$102,$C150),"."))</f>
        <v>na</v>
      </c>
      <c r="S150" s="144" t="str" cm="1">
        <f t="array" ref="S150">IF(ISERROR($B150),"na",IFERROR(INDEX(S$54:S$59,$B150)/INDEX(S$99:S$102,$C150),"."))</f>
        <v>na</v>
      </c>
      <c r="T150" s="144" t="str" cm="1">
        <f t="array" ref="T150">IF(ISERROR($B150),"na",IFERROR(INDEX(T$54:T$59,$B150)/INDEX(T$99:T$102,$C150),"."))</f>
        <v>na</v>
      </c>
      <c r="U150" s="144" t="str" cm="1">
        <f t="array" ref="U150">IF(ISERROR($B150),"na",IFERROR(INDEX(U$54:U$59,$B150)/INDEX(U$99:U$102,$C150),"."))</f>
        <v>na</v>
      </c>
      <c r="V150" s="144" t="str" cm="1">
        <f t="array" ref="V150">IF(ISERROR($B150),"na",IFERROR(INDEX(V$54:V$59,$B150)/INDEX(V$99:V$102,$C150),"."))</f>
        <v>na</v>
      </c>
      <c r="W150" s="144" t="str" cm="1">
        <f t="array" ref="W150">IF(ISERROR($B150),"na",IFERROR(INDEX(W$54:W$59,$B150)/INDEX(W$99:W$102,$C150),"."))</f>
        <v>na</v>
      </c>
      <c r="X150" s="144" t="str" cm="1">
        <f t="array" ref="X150">IF(ISERROR($B150),"na",IFERROR(INDEX(X$54:X$59,$B150)/INDEX(X$99:X$102,$C150),"."))</f>
        <v>na</v>
      </c>
      <c r="Y150" s="144" t="str" cm="1">
        <f t="array" ref="Y150">IF(ISERROR($B150),"na",IFERROR(INDEX(Y$54:Y$59,$B150)/INDEX(Y$99:Y$102,$C150),"."))</f>
        <v>na</v>
      </c>
      <c r="Z150" s="144" t="str" cm="1">
        <f t="array" ref="Z150">IF(ISERROR($B150),"na",IFERROR(INDEX(Z$54:Z$59,$B150)/INDEX(Z$99:Z$102,$C150),"."))</f>
        <v>na</v>
      </c>
      <c r="AA150" s="144" t="str" cm="1">
        <f t="array" ref="AA150">IF(ISERROR($B150),"na",IFERROR(INDEX(AA$54:AA$59,$B150)/INDEX(AA$99:AA$102,$C150),"."))</f>
        <v>na</v>
      </c>
      <c r="AB150" s="144" t="str" cm="1">
        <f t="array" ref="AB150">IF(ISERROR($B150),"na",IFERROR(INDEX(AB$54:AB$59,$B150)/INDEX(AB$99:AB$102,$C150),"."))</f>
        <v>na</v>
      </c>
      <c r="AC150" s="144" t="str" cm="1">
        <f t="array" ref="AC150">IF(ISERROR($B150),"na",IFERROR(INDEX(AC$54:AC$59,$B150)/INDEX(AC$99:AC$102,$C150),"."))</f>
        <v>na</v>
      </c>
      <c r="AD150" s="144" t="str" cm="1">
        <f t="array" ref="AD150">IF(ISERROR($B150),"na",IFERROR(INDEX(AD$54:AD$59,$B150)/INDEX(AD$99:AD$102,$C150),"."))</f>
        <v>na</v>
      </c>
      <c r="AE150" s="144" t="str" cm="1">
        <f t="array" ref="AE150">IF(ISERROR($B150),"na",IFERROR(INDEX(AE$54:AE$59,$B150)/INDEX(AE$99:AE$102,$C150),"."))</f>
        <v>na</v>
      </c>
      <c r="AF150" s="144" t="str" cm="1">
        <f t="array" ref="AF150">IF(ISERROR($B150),"na",IFERROR(INDEX(AF$54:AF$59,$B150)/INDEX(AF$99:AF$102,$C150),"."))</f>
        <v>na</v>
      </c>
      <c r="AG150" s="144" t="str" cm="1">
        <f t="array" ref="AG150">IF(ISERROR($B150),"na",IFERROR(INDEX(AG$54:AG$59,$B150)/INDEX(AG$99:AG$102,$C150),"."))</f>
        <v>na</v>
      </c>
      <c r="AH150" s="144" t="str" cm="1">
        <f t="array" ref="AH150">IF(ISERROR($B150),"na",IFERROR(INDEX(AH$54:AH$59,$B150)/INDEX(AH$99:AH$102,$C150),"."))</f>
        <v>na</v>
      </c>
      <c r="AI150" s="144" t="str" cm="1">
        <f t="array" ref="AI150">IF(ISERROR($B150),"na",IFERROR(INDEX(AI$54:AI$59,$B150)/INDEX(AI$99:AI$102,$C150),"."))</f>
        <v>na</v>
      </c>
      <c r="AJ150" s="144" t="str" cm="1">
        <f t="array" ref="AJ150">IF(ISERROR($B150),"na",IFERROR(INDEX(AJ$54:AJ$59,$B150)/INDEX(AJ$99:AJ$102,$C150),"."))</f>
        <v>na</v>
      </c>
      <c r="AK150" s="144" t="str" cm="1">
        <f t="array" ref="AK150">IF(ISERROR($B150),"na",IFERROR(INDEX(AK$54:AK$59,$B150)/INDEX(AK$99:AK$102,$C150),"."))</f>
        <v>na</v>
      </c>
      <c r="AL150" s="3"/>
    </row>
    <row r="151" spans="1:38" hidden="1" outlineLevel="2" x14ac:dyDescent="0.25">
      <c r="A151" s="43">
        <v>1</v>
      </c>
      <c r="B151" s="43" t="e">
        <f>_xlfn.XMATCH(_xlfn.XLOOKUP($A151,$B$54:$B$68,$D$54:$D$68),Fuel_Opex_Type_BC_Ar)</f>
        <v>#N/A</v>
      </c>
      <c r="C151" s="43" t="e">
        <f>_xlfn.XMATCH(_xlfn.XLOOKUP($A151,$B$54:$B$68,$C$54:$C$68),Fuel_Type_BC_Ar)</f>
        <v>#N/A</v>
      </c>
      <c r="D151" s="44"/>
      <c r="E151" s="44" t="str" cm="1">
        <f t="array" ref="E151">IF(ISERROR($C151),".","$/"&amp;INDEX($C$106:$C$109,$C151))</f>
        <v>.</v>
      </c>
      <c r="F151" s="45" t="str">
        <f>IF(ISERROR(C151),"na","BC")</f>
        <v>na</v>
      </c>
      <c r="G151" s="145" t="str" cm="1">
        <f t="array" ref="G151">IF(ISERROR($B151),"na",IFERROR(INDEX(G$63:G$68,$B151)/INDEX(G$106:G$109,$C151),"."))</f>
        <v>na</v>
      </c>
      <c r="H151" s="145" t="str" cm="1">
        <f t="array" ref="H151">IF(ISERROR($B151),"na",IFERROR(INDEX(H$63:H$68,$B151)/INDEX(H$106:H$109,$C151),"."))</f>
        <v>na</v>
      </c>
      <c r="I151" s="145" t="str" cm="1">
        <f t="array" ref="I151">IF(ISERROR($B151),"na",IFERROR(INDEX(I$63:I$68,$B151)/INDEX(I$106:I$109,$C151),"."))</f>
        <v>na</v>
      </c>
      <c r="J151" s="145" t="str" cm="1">
        <f t="array" ref="J151">IF(ISERROR($B151),"na",IFERROR(INDEX(J$63:J$68,$B151)/INDEX(J$106:J$109,$C151),"."))</f>
        <v>na</v>
      </c>
      <c r="K151" s="145" t="str" cm="1">
        <f t="array" ref="K151">IF(ISERROR($B151),"na",IFERROR(INDEX(K$63:K$68,$B151)/INDEX(K$106:K$109,$C151),"."))</f>
        <v>na</v>
      </c>
      <c r="L151" s="145" t="str" cm="1">
        <f t="array" ref="L151">IF(ISERROR($B151),"na",IFERROR(INDEX(L$63:L$68,$B151)/INDEX(L$106:L$109,$C151),"."))</f>
        <v>na</v>
      </c>
      <c r="M151" s="145" t="str" cm="1">
        <f t="array" ref="M151">IF(ISERROR($B151),"na",IFERROR(INDEX(M$63:M$68,$B151)/INDEX(M$106:M$109,$C151),"."))</f>
        <v>na</v>
      </c>
      <c r="N151" s="145" t="str" cm="1">
        <f t="array" ref="N151">IF(ISERROR($B151),"na",IFERROR(INDEX(N$63:N$68,$B151)/INDEX(N$106:N$109,$C151),"."))</f>
        <v>na</v>
      </c>
      <c r="O151" s="145" t="str" cm="1">
        <f t="array" ref="O151">IF(ISERROR($B151),"na",IFERROR(INDEX(O$63:O$68,$B151)/INDEX(O$106:O$109,$C151),"."))</f>
        <v>na</v>
      </c>
      <c r="P151" s="145" t="str" cm="1">
        <f t="array" ref="P151">IF(ISERROR($B151),"na",IFERROR(INDEX(P$63:P$68,$B151)/INDEX(P$106:P$109,$C151),"."))</f>
        <v>na</v>
      </c>
      <c r="Q151" s="145" t="str" cm="1">
        <f t="array" ref="Q151">IF(ISERROR($B151),"na",IFERROR(INDEX(Q$63:Q$68,$B151)/INDEX(Q$106:Q$109,$C151),"."))</f>
        <v>na</v>
      </c>
      <c r="R151" s="145" t="str" cm="1">
        <f t="array" ref="R151">IF(ISERROR($B151),"na",IFERROR(INDEX(R$63:R$68,$B151)/INDEX(R$106:R$109,$C151),"."))</f>
        <v>na</v>
      </c>
      <c r="S151" s="145" t="str" cm="1">
        <f t="array" ref="S151">IF(ISERROR($B151),"na",IFERROR(INDEX(S$63:S$68,$B151)/INDEX(S$106:S$109,$C151),"."))</f>
        <v>na</v>
      </c>
      <c r="T151" s="145" t="str" cm="1">
        <f t="array" ref="T151">IF(ISERROR($B151),"na",IFERROR(INDEX(T$63:T$68,$B151)/INDEX(T$106:T$109,$C151),"."))</f>
        <v>na</v>
      </c>
      <c r="U151" s="145" t="str" cm="1">
        <f t="array" ref="U151">IF(ISERROR($B151),"na",IFERROR(INDEX(U$63:U$68,$B151)/INDEX(U$106:U$109,$C151),"."))</f>
        <v>na</v>
      </c>
      <c r="V151" s="145" t="str" cm="1">
        <f t="array" ref="V151">IF(ISERROR($B151),"na",IFERROR(INDEX(V$63:V$68,$B151)/INDEX(V$106:V$109,$C151),"."))</f>
        <v>na</v>
      </c>
      <c r="W151" s="145" t="str" cm="1">
        <f t="array" ref="W151">IF(ISERROR($B151),"na",IFERROR(INDEX(W$63:W$68,$B151)/INDEX(W$106:W$109,$C151),"."))</f>
        <v>na</v>
      </c>
      <c r="X151" s="145" t="str" cm="1">
        <f t="array" ref="X151">IF(ISERROR($B151),"na",IFERROR(INDEX(X$63:X$68,$B151)/INDEX(X$106:X$109,$C151),"."))</f>
        <v>na</v>
      </c>
      <c r="Y151" s="145" t="str" cm="1">
        <f t="array" ref="Y151">IF(ISERROR($B151),"na",IFERROR(INDEX(Y$63:Y$68,$B151)/INDEX(Y$106:Y$109,$C151),"."))</f>
        <v>na</v>
      </c>
      <c r="Z151" s="145" t="str" cm="1">
        <f t="array" ref="Z151">IF(ISERROR($B151),"na",IFERROR(INDEX(Z$63:Z$68,$B151)/INDEX(Z$106:Z$109,$C151),"."))</f>
        <v>na</v>
      </c>
      <c r="AA151" s="145" t="str" cm="1">
        <f t="array" ref="AA151">IF(ISERROR($B151),"na",IFERROR(INDEX(AA$63:AA$68,$B151)/INDEX(AA$106:AA$109,$C151),"."))</f>
        <v>na</v>
      </c>
      <c r="AB151" s="145" t="str" cm="1">
        <f t="array" ref="AB151">IF(ISERROR($B151),"na",IFERROR(INDEX(AB$63:AB$68,$B151)/INDEX(AB$106:AB$109,$C151),"."))</f>
        <v>na</v>
      </c>
      <c r="AC151" s="145" t="str" cm="1">
        <f t="array" ref="AC151">IF(ISERROR($B151),"na",IFERROR(INDEX(AC$63:AC$68,$B151)/INDEX(AC$106:AC$109,$C151),"."))</f>
        <v>na</v>
      </c>
      <c r="AD151" s="145" t="str" cm="1">
        <f t="array" ref="AD151">IF(ISERROR($B151),"na",IFERROR(INDEX(AD$63:AD$68,$B151)/INDEX(AD$106:AD$109,$C151),"."))</f>
        <v>na</v>
      </c>
      <c r="AE151" s="145" t="str" cm="1">
        <f t="array" ref="AE151">IF(ISERROR($B151),"na",IFERROR(INDEX(AE$63:AE$68,$B151)/INDEX(AE$106:AE$109,$C151),"."))</f>
        <v>na</v>
      </c>
      <c r="AF151" s="145" t="str" cm="1">
        <f t="array" ref="AF151">IF(ISERROR($B151),"na",IFERROR(INDEX(AF$63:AF$68,$B151)/INDEX(AF$106:AF$109,$C151),"."))</f>
        <v>na</v>
      </c>
      <c r="AG151" s="145" t="str" cm="1">
        <f t="array" ref="AG151">IF(ISERROR($B151),"na",IFERROR(INDEX(AG$63:AG$68,$B151)/INDEX(AG$106:AG$109,$C151),"."))</f>
        <v>na</v>
      </c>
      <c r="AH151" s="145" t="str" cm="1">
        <f t="array" ref="AH151">IF(ISERROR($B151),"na",IFERROR(INDEX(AH$63:AH$68,$B151)/INDEX(AH$106:AH$109,$C151),"."))</f>
        <v>na</v>
      </c>
      <c r="AI151" s="145" t="str" cm="1">
        <f t="array" ref="AI151">IF(ISERROR($B151),"na",IFERROR(INDEX(AI$63:AI$68,$B151)/INDEX(AI$106:AI$109,$C151),"."))</f>
        <v>na</v>
      </c>
      <c r="AJ151" s="145" t="str" cm="1">
        <f t="array" ref="AJ151">IF(ISERROR($B151),"na",IFERROR(INDEX(AJ$63:AJ$68,$B151)/INDEX(AJ$106:AJ$109,$C151),"."))</f>
        <v>na</v>
      </c>
      <c r="AK151" s="145" t="str" cm="1">
        <f t="array" ref="AK151">IF(ISERROR($B151),"na",IFERROR(INDEX(AK$63:AK$68,$B151)/INDEX(AK$106:AK$109,$C151),"."))</f>
        <v>na</v>
      </c>
      <c r="AL151" s="3"/>
    </row>
    <row r="152" spans="1:38" hidden="1" outlineLevel="2" x14ac:dyDescent="0.25">
      <c r="A152" s="41">
        <f t="shared" ref="A152:A157" si="101">A150+1</f>
        <v>2</v>
      </c>
      <c r="B152" s="41" t="e">
        <f>_xlfn.XMATCH(_xlfn.XLOOKUP($A152,$B$54:$B$68,$D$54:$D$68),Fuel_Opex_Type_PP_Ar)</f>
        <v>#N/A</v>
      </c>
      <c r="C152" s="41" t="e">
        <f>_xlfn.XMATCH(_xlfn.XLOOKUP($A152,$B$54:$B$68,$C$54:$C$68),Fuel_Type_PP_Ar)</f>
        <v>#N/A</v>
      </c>
      <c r="D152" s="3" t="str">
        <f>IFERROR(_xlfn.XLOOKUP($A152,$B$54:$B$68,$D$54:$D$68),"na")</f>
        <v>na</v>
      </c>
      <c r="E152" s="3" t="str" cm="1">
        <f t="array" ref="E152">IF(ISERROR($C152),".","$/"&amp;INDEX($C$99:$C$102,$C152))</f>
        <v>.</v>
      </c>
      <c r="F152" s="42" t="str">
        <f>IF(ISERROR(C152),"na","PP")</f>
        <v>na</v>
      </c>
      <c r="G152" s="144" t="str" cm="1">
        <f t="array" ref="G152">IF(ISERROR($B152),"na",IFERROR(INDEX(G$54:G$59,$B152)/INDEX(G$99:G$102,$C152),"."))</f>
        <v>na</v>
      </c>
      <c r="H152" s="144" t="str" cm="1">
        <f t="array" ref="H152">IF(ISERROR($B152),"na",IFERROR(INDEX(H$54:H$59,$B152)/INDEX(H$99:H$102,$C152),"."))</f>
        <v>na</v>
      </c>
      <c r="I152" s="144" t="str" cm="1">
        <f t="array" ref="I152">IF(ISERROR($B152),"na",IFERROR(INDEX(I$54:I$59,$B152)/INDEX(I$99:I$102,$C152),"."))</f>
        <v>na</v>
      </c>
      <c r="J152" s="144" t="str" cm="1">
        <f t="array" ref="J152">IF(ISERROR($B152),"na",IFERROR(INDEX(J$54:J$59,$B152)/INDEX(J$99:J$102,$C152),"."))</f>
        <v>na</v>
      </c>
      <c r="K152" s="144" t="str" cm="1">
        <f t="array" ref="K152">IF(ISERROR($B152),"na",IFERROR(INDEX(K$54:K$59,$B152)/INDEX(K$99:K$102,$C152),"."))</f>
        <v>na</v>
      </c>
      <c r="L152" s="144" t="str" cm="1">
        <f t="array" ref="L152">IF(ISERROR($B152),"na",IFERROR(INDEX(L$54:L$59,$B152)/INDEX(L$99:L$102,$C152),"."))</f>
        <v>na</v>
      </c>
      <c r="M152" s="144" t="str" cm="1">
        <f t="array" ref="M152">IF(ISERROR($B152),"na",IFERROR(INDEX(M$54:M$59,$B152)/INDEX(M$99:M$102,$C152),"."))</f>
        <v>na</v>
      </c>
      <c r="N152" s="144" t="str" cm="1">
        <f t="array" ref="N152">IF(ISERROR($B152),"na",IFERROR(INDEX(N$54:N$59,$B152)/INDEX(N$99:N$102,$C152),"."))</f>
        <v>na</v>
      </c>
      <c r="O152" s="144" t="str" cm="1">
        <f t="array" ref="O152">IF(ISERROR($B152),"na",IFERROR(INDEX(O$54:O$59,$B152)/INDEX(O$99:O$102,$C152),"."))</f>
        <v>na</v>
      </c>
      <c r="P152" s="144" t="str" cm="1">
        <f t="array" ref="P152">IF(ISERROR($B152),"na",IFERROR(INDEX(P$54:P$59,$B152)/INDEX(P$99:P$102,$C152),"."))</f>
        <v>na</v>
      </c>
      <c r="Q152" s="144" t="str" cm="1">
        <f t="array" ref="Q152">IF(ISERROR($B152),"na",IFERROR(INDEX(Q$54:Q$59,$B152)/INDEX(Q$99:Q$102,$C152),"."))</f>
        <v>na</v>
      </c>
      <c r="R152" s="144" t="str" cm="1">
        <f t="array" ref="R152">IF(ISERROR($B152),"na",IFERROR(INDEX(R$54:R$59,$B152)/INDEX(R$99:R$102,$C152),"."))</f>
        <v>na</v>
      </c>
      <c r="S152" s="144" t="str" cm="1">
        <f t="array" ref="S152">IF(ISERROR($B152),"na",IFERROR(INDEX(S$54:S$59,$B152)/INDEX(S$99:S$102,$C152),"."))</f>
        <v>na</v>
      </c>
      <c r="T152" s="144" t="str" cm="1">
        <f t="array" ref="T152">IF(ISERROR($B152),"na",IFERROR(INDEX(T$54:T$59,$B152)/INDEX(T$99:T$102,$C152),"."))</f>
        <v>na</v>
      </c>
      <c r="U152" s="144" t="str" cm="1">
        <f t="array" ref="U152">IF(ISERROR($B152),"na",IFERROR(INDEX(U$54:U$59,$B152)/INDEX(U$99:U$102,$C152),"."))</f>
        <v>na</v>
      </c>
      <c r="V152" s="144" t="str" cm="1">
        <f t="array" ref="V152">IF(ISERROR($B152),"na",IFERROR(INDEX(V$54:V$59,$B152)/INDEX(V$99:V$102,$C152),"."))</f>
        <v>na</v>
      </c>
      <c r="W152" s="144" t="str" cm="1">
        <f t="array" ref="W152">IF(ISERROR($B152),"na",IFERROR(INDEX(W$54:W$59,$B152)/INDEX(W$99:W$102,$C152),"."))</f>
        <v>na</v>
      </c>
      <c r="X152" s="144" t="str" cm="1">
        <f t="array" ref="X152">IF(ISERROR($B152),"na",IFERROR(INDEX(X$54:X$59,$B152)/INDEX(X$99:X$102,$C152),"."))</f>
        <v>na</v>
      </c>
      <c r="Y152" s="144" t="str" cm="1">
        <f t="array" ref="Y152">IF(ISERROR($B152),"na",IFERROR(INDEX(Y$54:Y$59,$B152)/INDEX(Y$99:Y$102,$C152),"."))</f>
        <v>na</v>
      </c>
      <c r="Z152" s="144" t="str" cm="1">
        <f t="array" ref="Z152">IF(ISERROR($B152),"na",IFERROR(INDEX(Z$54:Z$59,$B152)/INDEX(Z$99:Z$102,$C152),"."))</f>
        <v>na</v>
      </c>
      <c r="AA152" s="144" t="str" cm="1">
        <f t="array" ref="AA152">IF(ISERROR($B152),"na",IFERROR(INDEX(AA$54:AA$59,$B152)/INDEX(AA$99:AA$102,$C152),"."))</f>
        <v>na</v>
      </c>
      <c r="AB152" s="144" t="str" cm="1">
        <f t="array" ref="AB152">IF(ISERROR($B152),"na",IFERROR(INDEX(AB$54:AB$59,$B152)/INDEX(AB$99:AB$102,$C152),"."))</f>
        <v>na</v>
      </c>
      <c r="AC152" s="144" t="str" cm="1">
        <f t="array" ref="AC152">IF(ISERROR($B152),"na",IFERROR(INDEX(AC$54:AC$59,$B152)/INDEX(AC$99:AC$102,$C152),"."))</f>
        <v>na</v>
      </c>
      <c r="AD152" s="144" t="str" cm="1">
        <f t="array" ref="AD152">IF(ISERROR($B152),"na",IFERROR(INDEX(AD$54:AD$59,$B152)/INDEX(AD$99:AD$102,$C152),"."))</f>
        <v>na</v>
      </c>
      <c r="AE152" s="144" t="str" cm="1">
        <f t="array" ref="AE152">IF(ISERROR($B152),"na",IFERROR(INDEX(AE$54:AE$59,$B152)/INDEX(AE$99:AE$102,$C152),"."))</f>
        <v>na</v>
      </c>
      <c r="AF152" s="144" t="str" cm="1">
        <f t="array" ref="AF152">IF(ISERROR($B152),"na",IFERROR(INDEX(AF$54:AF$59,$B152)/INDEX(AF$99:AF$102,$C152),"."))</f>
        <v>na</v>
      </c>
      <c r="AG152" s="144" t="str" cm="1">
        <f t="array" ref="AG152">IF(ISERROR($B152),"na",IFERROR(INDEX(AG$54:AG$59,$B152)/INDEX(AG$99:AG$102,$C152),"."))</f>
        <v>na</v>
      </c>
      <c r="AH152" s="144" t="str" cm="1">
        <f t="array" ref="AH152">IF(ISERROR($B152),"na",IFERROR(INDEX(AH$54:AH$59,$B152)/INDEX(AH$99:AH$102,$C152),"."))</f>
        <v>na</v>
      </c>
      <c r="AI152" s="144" t="str" cm="1">
        <f t="array" ref="AI152">IF(ISERROR($B152),"na",IFERROR(INDEX(AI$54:AI$59,$B152)/INDEX(AI$99:AI$102,$C152),"."))</f>
        <v>na</v>
      </c>
      <c r="AJ152" s="144" t="str" cm="1">
        <f t="array" ref="AJ152">IF(ISERROR($B152),"na",IFERROR(INDEX(AJ$54:AJ$59,$B152)/INDEX(AJ$99:AJ$102,$C152),"."))</f>
        <v>na</v>
      </c>
      <c r="AK152" s="144" t="str" cm="1">
        <f t="array" ref="AK152">IF(ISERROR($B152),"na",IFERROR(INDEX(AK$54:AK$59,$B152)/INDEX(AK$99:AK$102,$C152),"."))</f>
        <v>na</v>
      </c>
      <c r="AL152" s="3"/>
    </row>
    <row r="153" spans="1:38" hidden="1" outlineLevel="2" x14ac:dyDescent="0.25">
      <c r="A153" s="43">
        <f t="shared" si="101"/>
        <v>2</v>
      </c>
      <c r="B153" s="43" t="e">
        <f>_xlfn.XMATCH(_xlfn.XLOOKUP($A153,$B$54:$B$68,$D$54:$D$68),Fuel_Opex_Type_BC_Ar)</f>
        <v>#N/A</v>
      </c>
      <c r="C153" s="43" t="e">
        <f>_xlfn.XMATCH(_xlfn.XLOOKUP($A153,$B$54:$B$68,$C$54:$C$68),Fuel_Type_BC_Ar)</f>
        <v>#N/A</v>
      </c>
      <c r="D153" s="44"/>
      <c r="E153" s="44" t="str" cm="1">
        <f t="array" ref="E153">IF(ISERROR($C153),".","$/"&amp;INDEX($C$106:$C$109,$C153))</f>
        <v>.</v>
      </c>
      <c r="F153" s="45" t="str">
        <f>IF(ISERROR(C153),"na","BC")</f>
        <v>na</v>
      </c>
      <c r="G153" s="145" t="str" cm="1">
        <f t="array" ref="G153">IF(ISERROR($B153),"na",IFERROR(INDEX(G$63:G$68,$B153)/INDEX(G$106:G$109,$C153),"."))</f>
        <v>na</v>
      </c>
      <c r="H153" s="145" t="str" cm="1">
        <f t="array" ref="H153">IF(ISERROR($B153),"na",IFERROR(INDEX(H$63:H$68,$B153)/INDEX(H$106:H$109,$C153),"."))</f>
        <v>na</v>
      </c>
      <c r="I153" s="145" t="str" cm="1">
        <f t="array" ref="I153">IF(ISERROR($B153),"na",IFERROR(INDEX(I$63:I$68,$B153)/INDEX(I$106:I$109,$C153),"."))</f>
        <v>na</v>
      </c>
      <c r="J153" s="145" t="str" cm="1">
        <f t="array" ref="J153">IF(ISERROR($B153),"na",IFERROR(INDEX(J$63:J$68,$B153)/INDEX(J$106:J$109,$C153),"."))</f>
        <v>na</v>
      </c>
      <c r="K153" s="145" t="str" cm="1">
        <f t="array" ref="K153">IF(ISERROR($B153),"na",IFERROR(INDEX(K$63:K$68,$B153)/INDEX(K$106:K$109,$C153),"."))</f>
        <v>na</v>
      </c>
      <c r="L153" s="145" t="str" cm="1">
        <f t="array" ref="L153">IF(ISERROR($B153),"na",IFERROR(INDEX(L$63:L$68,$B153)/INDEX(L$106:L$109,$C153),"."))</f>
        <v>na</v>
      </c>
      <c r="M153" s="145" t="str" cm="1">
        <f t="array" ref="M153">IF(ISERROR($B153),"na",IFERROR(INDEX(M$63:M$68,$B153)/INDEX(M$106:M$109,$C153),"."))</f>
        <v>na</v>
      </c>
      <c r="N153" s="145" t="str" cm="1">
        <f t="array" ref="N153">IF(ISERROR($B153),"na",IFERROR(INDEX(N$63:N$68,$B153)/INDEX(N$106:N$109,$C153),"."))</f>
        <v>na</v>
      </c>
      <c r="O153" s="145" t="str" cm="1">
        <f t="array" ref="O153">IF(ISERROR($B153),"na",IFERROR(INDEX(O$63:O$68,$B153)/INDEX(O$106:O$109,$C153),"."))</f>
        <v>na</v>
      </c>
      <c r="P153" s="145" t="str" cm="1">
        <f t="array" ref="P153">IF(ISERROR($B153),"na",IFERROR(INDEX(P$63:P$68,$B153)/INDEX(P$106:P$109,$C153),"."))</f>
        <v>na</v>
      </c>
      <c r="Q153" s="145" t="str" cm="1">
        <f t="array" ref="Q153">IF(ISERROR($B153),"na",IFERROR(INDEX(Q$63:Q$68,$B153)/INDEX(Q$106:Q$109,$C153),"."))</f>
        <v>na</v>
      </c>
      <c r="R153" s="145" t="str" cm="1">
        <f t="array" ref="R153">IF(ISERROR($B153),"na",IFERROR(INDEX(R$63:R$68,$B153)/INDEX(R$106:R$109,$C153),"."))</f>
        <v>na</v>
      </c>
      <c r="S153" s="145" t="str" cm="1">
        <f t="array" ref="S153">IF(ISERROR($B153),"na",IFERROR(INDEX(S$63:S$68,$B153)/INDEX(S$106:S$109,$C153),"."))</f>
        <v>na</v>
      </c>
      <c r="T153" s="145" t="str" cm="1">
        <f t="array" ref="T153">IF(ISERROR($B153),"na",IFERROR(INDEX(T$63:T$68,$B153)/INDEX(T$106:T$109,$C153),"."))</f>
        <v>na</v>
      </c>
      <c r="U153" s="145" t="str" cm="1">
        <f t="array" ref="U153">IF(ISERROR($B153),"na",IFERROR(INDEX(U$63:U$68,$B153)/INDEX(U$106:U$109,$C153),"."))</f>
        <v>na</v>
      </c>
      <c r="V153" s="145" t="str" cm="1">
        <f t="array" ref="V153">IF(ISERROR($B153),"na",IFERROR(INDEX(V$63:V$68,$B153)/INDEX(V$106:V$109,$C153),"."))</f>
        <v>na</v>
      </c>
      <c r="W153" s="145" t="str" cm="1">
        <f t="array" ref="W153">IF(ISERROR($B153),"na",IFERROR(INDEX(W$63:W$68,$B153)/INDEX(W$106:W$109,$C153),"."))</f>
        <v>na</v>
      </c>
      <c r="X153" s="145" t="str" cm="1">
        <f t="array" ref="X153">IF(ISERROR($B153),"na",IFERROR(INDEX(X$63:X$68,$B153)/INDEX(X$106:X$109,$C153),"."))</f>
        <v>na</v>
      </c>
      <c r="Y153" s="145" t="str" cm="1">
        <f t="array" ref="Y153">IF(ISERROR($B153),"na",IFERROR(INDEX(Y$63:Y$68,$B153)/INDEX(Y$106:Y$109,$C153),"."))</f>
        <v>na</v>
      </c>
      <c r="Z153" s="145" t="str" cm="1">
        <f t="array" ref="Z153">IF(ISERROR($B153),"na",IFERROR(INDEX(Z$63:Z$68,$B153)/INDEX(Z$106:Z$109,$C153),"."))</f>
        <v>na</v>
      </c>
      <c r="AA153" s="145" t="str" cm="1">
        <f t="array" ref="AA153">IF(ISERROR($B153),"na",IFERROR(INDEX(AA$63:AA$68,$B153)/INDEX(AA$106:AA$109,$C153),"."))</f>
        <v>na</v>
      </c>
      <c r="AB153" s="145" t="str" cm="1">
        <f t="array" ref="AB153">IF(ISERROR($B153),"na",IFERROR(INDEX(AB$63:AB$68,$B153)/INDEX(AB$106:AB$109,$C153),"."))</f>
        <v>na</v>
      </c>
      <c r="AC153" s="145" t="str" cm="1">
        <f t="array" ref="AC153">IF(ISERROR($B153),"na",IFERROR(INDEX(AC$63:AC$68,$B153)/INDEX(AC$106:AC$109,$C153),"."))</f>
        <v>na</v>
      </c>
      <c r="AD153" s="145" t="str" cm="1">
        <f t="array" ref="AD153">IF(ISERROR($B153),"na",IFERROR(INDEX(AD$63:AD$68,$B153)/INDEX(AD$106:AD$109,$C153),"."))</f>
        <v>na</v>
      </c>
      <c r="AE153" s="145" t="str" cm="1">
        <f t="array" ref="AE153">IF(ISERROR($B153),"na",IFERROR(INDEX(AE$63:AE$68,$B153)/INDEX(AE$106:AE$109,$C153),"."))</f>
        <v>na</v>
      </c>
      <c r="AF153" s="145" t="str" cm="1">
        <f t="array" ref="AF153">IF(ISERROR($B153),"na",IFERROR(INDEX(AF$63:AF$68,$B153)/INDEX(AF$106:AF$109,$C153),"."))</f>
        <v>na</v>
      </c>
      <c r="AG153" s="145" t="str" cm="1">
        <f t="array" ref="AG153">IF(ISERROR($B153),"na",IFERROR(INDEX(AG$63:AG$68,$B153)/INDEX(AG$106:AG$109,$C153),"."))</f>
        <v>na</v>
      </c>
      <c r="AH153" s="145" t="str" cm="1">
        <f t="array" ref="AH153">IF(ISERROR($B153),"na",IFERROR(INDEX(AH$63:AH$68,$B153)/INDEX(AH$106:AH$109,$C153),"."))</f>
        <v>na</v>
      </c>
      <c r="AI153" s="145" t="str" cm="1">
        <f t="array" ref="AI153">IF(ISERROR($B153),"na",IFERROR(INDEX(AI$63:AI$68,$B153)/INDEX(AI$106:AI$109,$C153),"."))</f>
        <v>na</v>
      </c>
      <c r="AJ153" s="145" t="str" cm="1">
        <f t="array" ref="AJ153">IF(ISERROR($B153),"na",IFERROR(INDEX(AJ$63:AJ$68,$B153)/INDEX(AJ$106:AJ$109,$C153),"."))</f>
        <v>na</v>
      </c>
      <c r="AK153" s="145" t="str" cm="1">
        <f t="array" ref="AK153">IF(ISERROR($B153),"na",IFERROR(INDEX(AK$63:AK$68,$B153)/INDEX(AK$106:AK$109,$C153),"."))</f>
        <v>na</v>
      </c>
      <c r="AL153" s="3"/>
    </row>
    <row r="154" spans="1:38" hidden="1" outlineLevel="2" x14ac:dyDescent="0.25">
      <c r="A154" s="41">
        <f t="shared" si="101"/>
        <v>3</v>
      </c>
      <c r="B154" s="41" t="e">
        <f>_xlfn.XMATCH(_xlfn.XLOOKUP($A154,$B$54:$B$68,$D$54:$D$68),Fuel_Opex_Type_PP_Ar)</f>
        <v>#N/A</v>
      </c>
      <c r="C154" s="41" t="e">
        <f>_xlfn.XMATCH(_xlfn.XLOOKUP($A154,$B$54:$B$68,$C$54:$C$68),Fuel_Type_PP_Ar)</f>
        <v>#N/A</v>
      </c>
      <c r="D154" s="3" t="str">
        <f>IFERROR(_xlfn.XLOOKUP($A154,$B$54:$B$68,$D$54:$D$68),"na")</f>
        <v>na</v>
      </c>
      <c r="E154" s="3" t="str" cm="1">
        <f t="array" ref="E154">IF(ISERROR($C154),".","$/"&amp;INDEX($C$99:$C$102,$C154))</f>
        <v>.</v>
      </c>
      <c r="F154" s="42" t="str">
        <f>IF(ISERROR(C154),"na","PP")</f>
        <v>na</v>
      </c>
      <c r="G154" s="144" t="str" cm="1">
        <f t="array" ref="G154">IF(ISERROR($B154),"na",IFERROR(INDEX(G$54:G$59,$B154)/INDEX(G$99:G$102,$C154),"."))</f>
        <v>na</v>
      </c>
      <c r="H154" s="144" t="str" cm="1">
        <f t="array" ref="H154">IF(ISERROR($B154),"na",IFERROR(INDEX(H$54:H$59,$B154)/INDEX(H$99:H$102,$C154),"."))</f>
        <v>na</v>
      </c>
      <c r="I154" s="144" t="str" cm="1">
        <f t="array" ref="I154">IF(ISERROR($B154),"na",IFERROR(INDEX(I$54:I$59,$B154)/INDEX(I$99:I$102,$C154),"."))</f>
        <v>na</v>
      </c>
      <c r="J154" s="144" t="str" cm="1">
        <f t="array" ref="J154">IF(ISERROR($B154),"na",IFERROR(INDEX(J$54:J$59,$B154)/INDEX(J$99:J$102,$C154),"."))</f>
        <v>na</v>
      </c>
      <c r="K154" s="144" t="str" cm="1">
        <f t="array" ref="K154">IF(ISERROR($B154),"na",IFERROR(INDEX(K$54:K$59,$B154)/INDEX(K$99:K$102,$C154),"."))</f>
        <v>na</v>
      </c>
      <c r="L154" s="144" t="str" cm="1">
        <f t="array" ref="L154">IF(ISERROR($B154),"na",IFERROR(INDEX(L$54:L$59,$B154)/INDEX(L$99:L$102,$C154),"."))</f>
        <v>na</v>
      </c>
      <c r="M154" s="144" t="str" cm="1">
        <f t="array" ref="M154">IF(ISERROR($B154),"na",IFERROR(INDEX(M$54:M$59,$B154)/INDEX(M$99:M$102,$C154),"."))</f>
        <v>na</v>
      </c>
      <c r="N154" s="144" t="str" cm="1">
        <f t="array" ref="N154">IF(ISERROR($B154),"na",IFERROR(INDEX(N$54:N$59,$B154)/INDEX(N$99:N$102,$C154),"."))</f>
        <v>na</v>
      </c>
      <c r="O154" s="144" t="str" cm="1">
        <f t="array" ref="O154">IF(ISERROR($B154),"na",IFERROR(INDEX(O$54:O$59,$B154)/INDEX(O$99:O$102,$C154),"."))</f>
        <v>na</v>
      </c>
      <c r="P154" s="144" t="str" cm="1">
        <f t="array" ref="P154">IF(ISERROR($B154),"na",IFERROR(INDEX(P$54:P$59,$B154)/INDEX(P$99:P$102,$C154),"."))</f>
        <v>na</v>
      </c>
      <c r="Q154" s="144" t="str" cm="1">
        <f t="array" ref="Q154">IF(ISERROR($B154),"na",IFERROR(INDEX(Q$54:Q$59,$B154)/INDEX(Q$99:Q$102,$C154),"."))</f>
        <v>na</v>
      </c>
      <c r="R154" s="144" t="str" cm="1">
        <f t="array" ref="R154">IF(ISERROR($B154),"na",IFERROR(INDEX(R$54:R$59,$B154)/INDEX(R$99:R$102,$C154),"."))</f>
        <v>na</v>
      </c>
      <c r="S154" s="144" t="str" cm="1">
        <f t="array" ref="S154">IF(ISERROR($B154),"na",IFERROR(INDEX(S$54:S$59,$B154)/INDEX(S$99:S$102,$C154),"."))</f>
        <v>na</v>
      </c>
      <c r="T154" s="144" t="str" cm="1">
        <f t="array" ref="T154">IF(ISERROR($B154),"na",IFERROR(INDEX(T$54:T$59,$B154)/INDEX(T$99:T$102,$C154),"."))</f>
        <v>na</v>
      </c>
      <c r="U154" s="144" t="str" cm="1">
        <f t="array" ref="U154">IF(ISERROR($B154),"na",IFERROR(INDEX(U$54:U$59,$B154)/INDEX(U$99:U$102,$C154),"."))</f>
        <v>na</v>
      </c>
      <c r="V154" s="144" t="str" cm="1">
        <f t="array" ref="V154">IF(ISERROR($B154),"na",IFERROR(INDEX(V$54:V$59,$B154)/INDEX(V$99:V$102,$C154),"."))</f>
        <v>na</v>
      </c>
      <c r="W154" s="144" t="str" cm="1">
        <f t="array" ref="W154">IF(ISERROR($B154),"na",IFERROR(INDEX(W$54:W$59,$B154)/INDEX(W$99:W$102,$C154),"."))</f>
        <v>na</v>
      </c>
      <c r="X154" s="144" t="str" cm="1">
        <f t="array" ref="X154">IF(ISERROR($B154),"na",IFERROR(INDEX(X$54:X$59,$B154)/INDEX(X$99:X$102,$C154),"."))</f>
        <v>na</v>
      </c>
      <c r="Y154" s="144" t="str" cm="1">
        <f t="array" ref="Y154">IF(ISERROR($B154),"na",IFERROR(INDEX(Y$54:Y$59,$B154)/INDEX(Y$99:Y$102,$C154),"."))</f>
        <v>na</v>
      </c>
      <c r="Z154" s="144" t="str" cm="1">
        <f t="array" ref="Z154">IF(ISERROR($B154),"na",IFERROR(INDEX(Z$54:Z$59,$B154)/INDEX(Z$99:Z$102,$C154),"."))</f>
        <v>na</v>
      </c>
      <c r="AA154" s="144" t="str" cm="1">
        <f t="array" ref="AA154">IF(ISERROR($B154),"na",IFERROR(INDEX(AA$54:AA$59,$B154)/INDEX(AA$99:AA$102,$C154),"."))</f>
        <v>na</v>
      </c>
      <c r="AB154" s="144" t="str" cm="1">
        <f t="array" ref="AB154">IF(ISERROR($B154),"na",IFERROR(INDEX(AB$54:AB$59,$B154)/INDEX(AB$99:AB$102,$C154),"."))</f>
        <v>na</v>
      </c>
      <c r="AC154" s="144" t="str" cm="1">
        <f t="array" ref="AC154">IF(ISERROR($B154),"na",IFERROR(INDEX(AC$54:AC$59,$B154)/INDEX(AC$99:AC$102,$C154),"."))</f>
        <v>na</v>
      </c>
      <c r="AD154" s="144" t="str" cm="1">
        <f t="array" ref="AD154">IF(ISERROR($B154),"na",IFERROR(INDEX(AD$54:AD$59,$B154)/INDEX(AD$99:AD$102,$C154),"."))</f>
        <v>na</v>
      </c>
      <c r="AE154" s="144" t="str" cm="1">
        <f t="array" ref="AE154">IF(ISERROR($B154),"na",IFERROR(INDEX(AE$54:AE$59,$B154)/INDEX(AE$99:AE$102,$C154),"."))</f>
        <v>na</v>
      </c>
      <c r="AF154" s="144" t="str" cm="1">
        <f t="array" ref="AF154">IF(ISERROR($B154),"na",IFERROR(INDEX(AF$54:AF$59,$B154)/INDEX(AF$99:AF$102,$C154),"."))</f>
        <v>na</v>
      </c>
      <c r="AG154" s="144" t="str" cm="1">
        <f t="array" ref="AG154">IF(ISERROR($B154),"na",IFERROR(INDEX(AG$54:AG$59,$B154)/INDEX(AG$99:AG$102,$C154),"."))</f>
        <v>na</v>
      </c>
      <c r="AH154" s="144" t="str" cm="1">
        <f t="array" ref="AH154">IF(ISERROR($B154),"na",IFERROR(INDEX(AH$54:AH$59,$B154)/INDEX(AH$99:AH$102,$C154),"."))</f>
        <v>na</v>
      </c>
      <c r="AI154" s="144" t="str" cm="1">
        <f t="array" ref="AI154">IF(ISERROR($B154),"na",IFERROR(INDEX(AI$54:AI$59,$B154)/INDEX(AI$99:AI$102,$C154),"."))</f>
        <v>na</v>
      </c>
      <c r="AJ154" s="144" t="str" cm="1">
        <f t="array" ref="AJ154">IF(ISERROR($B154),"na",IFERROR(INDEX(AJ$54:AJ$59,$B154)/INDEX(AJ$99:AJ$102,$C154),"."))</f>
        <v>na</v>
      </c>
      <c r="AK154" s="144" t="str" cm="1">
        <f t="array" ref="AK154">IF(ISERROR($B154),"na",IFERROR(INDEX(AK$54:AK$59,$B154)/INDEX(AK$99:AK$102,$C154),"."))</f>
        <v>na</v>
      </c>
      <c r="AL154" s="3"/>
    </row>
    <row r="155" spans="1:38" hidden="1" outlineLevel="2" x14ac:dyDescent="0.25">
      <c r="A155" s="43">
        <f t="shared" si="101"/>
        <v>3</v>
      </c>
      <c r="B155" s="43" t="e">
        <f>_xlfn.XMATCH(_xlfn.XLOOKUP($A155,$B$54:$B$68,$D$54:$D$68),Fuel_Opex_Type_BC_Ar)</f>
        <v>#N/A</v>
      </c>
      <c r="C155" s="43" t="e">
        <f>_xlfn.XMATCH(_xlfn.XLOOKUP($A155,$B$54:$B$68,$C$54:$C$68),Fuel_Type_BC_Ar)</f>
        <v>#N/A</v>
      </c>
      <c r="D155" s="44"/>
      <c r="E155" s="44" t="str" cm="1">
        <f t="array" ref="E155">IF(ISERROR($C155),".","$/"&amp;INDEX($C$106:$C$109,$C155))</f>
        <v>.</v>
      </c>
      <c r="F155" s="45" t="str">
        <f>IF(ISERROR(C155),"na","BC")</f>
        <v>na</v>
      </c>
      <c r="G155" s="145" t="str" cm="1">
        <f t="array" ref="G155">IF(ISERROR($B155),"na",IFERROR(INDEX(G$63:G$68,$B155)/INDEX(G$106:G$109,$C155),"."))</f>
        <v>na</v>
      </c>
      <c r="H155" s="145" t="str" cm="1">
        <f t="array" ref="H155">IF(ISERROR($B155),"na",IFERROR(INDEX(H$63:H$68,$B155)/INDEX(H$106:H$109,$C155),"."))</f>
        <v>na</v>
      </c>
      <c r="I155" s="145" t="str" cm="1">
        <f t="array" ref="I155">IF(ISERROR($B155),"na",IFERROR(INDEX(I$63:I$68,$B155)/INDEX(I$106:I$109,$C155),"."))</f>
        <v>na</v>
      </c>
      <c r="J155" s="145" t="str" cm="1">
        <f t="array" ref="J155">IF(ISERROR($B155),"na",IFERROR(INDEX(J$63:J$68,$B155)/INDEX(J$106:J$109,$C155),"."))</f>
        <v>na</v>
      </c>
      <c r="K155" s="145" t="str" cm="1">
        <f t="array" ref="K155">IF(ISERROR($B155),"na",IFERROR(INDEX(K$63:K$68,$B155)/INDEX(K$106:K$109,$C155),"."))</f>
        <v>na</v>
      </c>
      <c r="L155" s="145" t="str" cm="1">
        <f t="array" ref="L155">IF(ISERROR($B155),"na",IFERROR(INDEX(L$63:L$68,$B155)/INDEX(L$106:L$109,$C155),"."))</f>
        <v>na</v>
      </c>
      <c r="M155" s="145" t="str" cm="1">
        <f t="array" ref="M155">IF(ISERROR($B155),"na",IFERROR(INDEX(M$63:M$68,$B155)/INDEX(M$106:M$109,$C155),"."))</f>
        <v>na</v>
      </c>
      <c r="N155" s="145" t="str" cm="1">
        <f t="array" ref="N155">IF(ISERROR($B155),"na",IFERROR(INDEX(N$63:N$68,$B155)/INDEX(N$106:N$109,$C155),"."))</f>
        <v>na</v>
      </c>
      <c r="O155" s="145" t="str" cm="1">
        <f t="array" ref="O155">IF(ISERROR($B155),"na",IFERROR(INDEX(O$63:O$68,$B155)/INDEX(O$106:O$109,$C155),"."))</f>
        <v>na</v>
      </c>
      <c r="P155" s="145" t="str" cm="1">
        <f t="array" ref="P155">IF(ISERROR($B155),"na",IFERROR(INDEX(P$63:P$68,$B155)/INDEX(P$106:P$109,$C155),"."))</f>
        <v>na</v>
      </c>
      <c r="Q155" s="145" t="str" cm="1">
        <f t="array" ref="Q155">IF(ISERROR($B155),"na",IFERROR(INDEX(Q$63:Q$68,$B155)/INDEX(Q$106:Q$109,$C155),"."))</f>
        <v>na</v>
      </c>
      <c r="R155" s="145" t="str" cm="1">
        <f t="array" ref="R155">IF(ISERROR($B155),"na",IFERROR(INDEX(R$63:R$68,$B155)/INDEX(R$106:R$109,$C155),"."))</f>
        <v>na</v>
      </c>
      <c r="S155" s="145" t="str" cm="1">
        <f t="array" ref="S155">IF(ISERROR($B155),"na",IFERROR(INDEX(S$63:S$68,$B155)/INDEX(S$106:S$109,$C155),"."))</f>
        <v>na</v>
      </c>
      <c r="T155" s="145" t="str" cm="1">
        <f t="array" ref="T155">IF(ISERROR($B155),"na",IFERROR(INDEX(T$63:T$68,$B155)/INDEX(T$106:T$109,$C155),"."))</f>
        <v>na</v>
      </c>
      <c r="U155" s="145" t="str" cm="1">
        <f t="array" ref="U155">IF(ISERROR($B155),"na",IFERROR(INDEX(U$63:U$68,$B155)/INDEX(U$106:U$109,$C155),"."))</f>
        <v>na</v>
      </c>
      <c r="V155" s="145" t="str" cm="1">
        <f t="array" ref="V155">IF(ISERROR($B155),"na",IFERROR(INDEX(V$63:V$68,$B155)/INDEX(V$106:V$109,$C155),"."))</f>
        <v>na</v>
      </c>
      <c r="W155" s="145" t="str" cm="1">
        <f t="array" ref="W155">IF(ISERROR($B155),"na",IFERROR(INDEX(W$63:W$68,$B155)/INDEX(W$106:W$109,$C155),"."))</f>
        <v>na</v>
      </c>
      <c r="X155" s="145" t="str" cm="1">
        <f t="array" ref="X155">IF(ISERROR($B155),"na",IFERROR(INDEX(X$63:X$68,$B155)/INDEX(X$106:X$109,$C155),"."))</f>
        <v>na</v>
      </c>
      <c r="Y155" s="145" t="str" cm="1">
        <f t="array" ref="Y155">IF(ISERROR($B155),"na",IFERROR(INDEX(Y$63:Y$68,$B155)/INDEX(Y$106:Y$109,$C155),"."))</f>
        <v>na</v>
      </c>
      <c r="Z155" s="145" t="str" cm="1">
        <f t="array" ref="Z155">IF(ISERROR($B155),"na",IFERROR(INDEX(Z$63:Z$68,$B155)/INDEX(Z$106:Z$109,$C155),"."))</f>
        <v>na</v>
      </c>
      <c r="AA155" s="145" t="str" cm="1">
        <f t="array" ref="AA155">IF(ISERROR($B155),"na",IFERROR(INDEX(AA$63:AA$68,$B155)/INDEX(AA$106:AA$109,$C155),"."))</f>
        <v>na</v>
      </c>
      <c r="AB155" s="145" t="str" cm="1">
        <f t="array" ref="AB155">IF(ISERROR($B155),"na",IFERROR(INDEX(AB$63:AB$68,$B155)/INDEX(AB$106:AB$109,$C155),"."))</f>
        <v>na</v>
      </c>
      <c r="AC155" s="145" t="str" cm="1">
        <f t="array" ref="AC155">IF(ISERROR($B155),"na",IFERROR(INDEX(AC$63:AC$68,$B155)/INDEX(AC$106:AC$109,$C155),"."))</f>
        <v>na</v>
      </c>
      <c r="AD155" s="145" t="str" cm="1">
        <f t="array" ref="AD155">IF(ISERROR($B155),"na",IFERROR(INDEX(AD$63:AD$68,$B155)/INDEX(AD$106:AD$109,$C155),"."))</f>
        <v>na</v>
      </c>
      <c r="AE155" s="145" t="str" cm="1">
        <f t="array" ref="AE155">IF(ISERROR($B155),"na",IFERROR(INDEX(AE$63:AE$68,$B155)/INDEX(AE$106:AE$109,$C155),"."))</f>
        <v>na</v>
      </c>
      <c r="AF155" s="145" t="str" cm="1">
        <f t="array" ref="AF155">IF(ISERROR($B155),"na",IFERROR(INDEX(AF$63:AF$68,$B155)/INDEX(AF$106:AF$109,$C155),"."))</f>
        <v>na</v>
      </c>
      <c r="AG155" s="145" t="str" cm="1">
        <f t="array" ref="AG155">IF(ISERROR($B155),"na",IFERROR(INDEX(AG$63:AG$68,$B155)/INDEX(AG$106:AG$109,$C155),"."))</f>
        <v>na</v>
      </c>
      <c r="AH155" s="145" t="str" cm="1">
        <f t="array" ref="AH155">IF(ISERROR($B155),"na",IFERROR(INDEX(AH$63:AH$68,$B155)/INDEX(AH$106:AH$109,$C155),"."))</f>
        <v>na</v>
      </c>
      <c r="AI155" s="145" t="str" cm="1">
        <f t="array" ref="AI155">IF(ISERROR($B155),"na",IFERROR(INDEX(AI$63:AI$68,$B155)/INDEX(AI$106:AI$109,$C155),"."))</f>
        <v>na</v>
      </c>
      <c r="AJ155" s="145" t="str" cm="1">
        <f t="array" ref="AJ155">IF(ISERROR($B155),"na",IFERROR(INDEX(AJ$63:AJ$68,$B155)/INDEX(AJ$106:AJ$109,$C155),"."))</f>
        <v>na</v>
      </c>
      <c r="AK155" s="145" t="str" cm="1">
        <f t="array" ref="AK155">IF(ISERROR($B155),"na",IFERROR(INDEX(AK$63:AK$68,$B155)/INDEX(AK$106:AK$109,$C155),"."))</f>
        <v>na</v>
      </c>
      <c r="AL155" s="3"/>
    </row>
    <row r="156" spans="1:38" hidden="1" outlineLevel="2" x14ac:dyDescent="0.25">
      <c r="A156" s="41">
        <f t="shared" si="101"/>
        <v>4</v>
      </c>
      <c r="B156" s="41" t="e">
        <f>_xlfn.XMATCH(_xlfn.XLOOKUP($A156,$B$54:$B$68,$D$54:$D$68),Fuel_Opex_Type_PP_Ar)</f>
        <v>#N/A</v>
      </c>
      <c r="C156" s="41" t="e">
        <f>_xlfn.XMATCH(_xlfn.XLOOKUP($A156,$B$54:$B$68,$C$54:$C$68),Fuel_Type_PP_Ar)</f>
        <v>#N/A</v>
      </c>
      <c r="D156" s="3" t="str">
        <f>IFERROR(_xlfn.XLOOKUP($A156,$B$54:$B$68,$D$54:$D$68),"na")</f>
        <v>na</v>
      </c>
      <c r="E156" s="3" t="str" cm="1">
        <f t="array" ref="E156">IF(ISERROR($C156),".","$/"&amp;INDEX($C$99:$C$102,$C156))</f>
        <v>.</v>
      </c>
      <c r="F156" s="42" t="str">
        <f>IF(ISERROR(C156),"na","PP")</f>
        <v>na</v>
      </c>
      <c r="G156" s="144" t="str" cm="1">
        <f t="array" ref="G156">IF(ISERROR($B156),"na",IFERROR(INDEX(G$54:G$59,$B156)/INDEX(G$99:G$102,$C156),"."))</f>
        <v>na</v>
      </c>
      <c r="H156" s="144" t="str" cm="1">
        <f t="array" ref="H156">IF(ISERROR($B156),"na",IFERROR(INDEX(H$54:H$59,$B156)/INDEX(H$99:H$102,$C156),"."))</f>
        <v>na</v>
      </c>
      <c r="I156" s="144" t="str" cm="1">
        <f t="array" ref="I156">IF(ISERROR($B156),"na",IFERROR(INDEX(I$54:I$59,$B156)/INDEX(I$99:I$102,$C156),"."))</f>
        <v>na</v>
      </c>
      <c r="J156" s="144" t="str" cm="1">
        <f t="array" ref="J156">IF(ISERROR($B156),"na",IFERROR(INDEX(J$54:J$59,$B156)/INDEX(J$99:J$102,$C156),"."))</f>
        <v>na</v>
      </c>
      <c r="K156" s="144" t="str" cm="1">
        <f t="array" ref="K156">IF(ISERROR($B156),"na",IFERROR(INDEX(K$54:K$59,$B156)/INDEX(K$99:K$102,$C156),"."))</f>
        <v>na</v>
      </c>
      <c r="L156" s="144" t="str" cm="1">
        <f t="array" ref="L156">IF(ISERROR($B156),"na",IFERROR(INDEX(L$54:L$59,$B156)/INDEX(L$99:L$102,$C156),"."))</f>
        <v>na</v>
      </c>
      <c r="M156" s="144" t="str" cm="1">
        <f t="array" ref="M156">IF(ISERROR($B156),"na",IFERROR(INDEX(M$54:M$59,$B156)/INDEX(M$99:M$102,$C156),"."))</f>
        <v>na</v>
      </c>
      <c r="N156" s="144" t="str" cm="1">
        <f t="array" ref="N156">IF(ISERROR($B156),"na",IFERROR(INDEX(N$54:N$59,$B156)/INDEX(N$99:N$102,$C156),"."))</f>
        <v>na</v>
      </c>
      <c r="O156" s="144" t="str" cm="1">
        <f t="array" ref="O156">IF(ISERROR($B156),"na",IFERROR(INDEX(O$54:O$59,$B156)/INDEX(O$99:O$102,$C156),"."))</f>
        <v>na</v>
      </c>
      <c r="P156" s="144" t="str" cm="1">
        <f t="array" ref="P156">IF(ISERROR($B156),"na",IFERROR(INDEX(P$54:P$59,$B156)/INDEX(P$99:P$102,$C156),"."))</f>
        <v>na</v>
      </c>
      <c r="Q156" s="144" t="str" cm="1">
        <f t="array" ref="Q156">IF(ISERROR($B156),"na",IFERROR(INDEX(Q$54:Q$59,$B156)/INDEX(Q$99:Q$102,$C156),"."))</f>
        <v>na</v>
      </c>
      <c r="R156" s="144" t="str" cm="1">
        <f t="array" ref="R156">IF(ISERROR($B156),"na",IFERROR(INDEX(R$54:R$59,$B156)/INDEX(R$99:R$102,$C156),"."))</f>
        <v>na</v>
      </c>
      <c r="S156" s="144" t="str" cm="1">
        <f t="array" ref="S156">IF(ISERROR($B156),"na",IFERROR(INDEX(S$54:S$59,$B156)/INDEX(S$99:S$102,$C156),"."))</f>
        <v>na</v>
      </c>
      <c r="T156" s="144" t="str" cm="1">
        <f t="array" ref="T156">IF(ISERROR($B156),"na",IFERROR(INDEX(T$54:T$59,$B156)/INDEX(T$99:T$102,$C156),"."))</f>
        <v>na</v>
      </c>
      <c r="U156" s="144" t="str" cm="1">
        <f t="array" ref="U156">IF(ISERROR($B156),"na",IFERROR(INDEX(U$54:U$59,$B156)/INDEX(U$99:U$102,$C156),"."))</f>
        <v>na</v>
      </c>
      <c r="V156" s="144" t="str" cm="1">
        <f t="array" ref="V156">IF(ISERROR($B156),"na",IFERROR(INDEX(V$54:V$59,$B156)/INDEX(V$99:V$102,$C156),"."))</f>
        <v>na</v>
      </c>
      <c r="W156" s="144" t="str" cm="1">
        <f t="array" ref="W156">IF(ISERROR($B156),"na",IFERROR(INDEX(W$54:W$59,$B156)/INDEX(W$99:W$102,$C156),"."))</f>
        <v>na</v>
      </c>
      <c r="X156" s="144" t="str" cm="1">
        <f t="array" ref="X156">IF(ISERROR($B156),"na",IFERROR(INDEX(X$54:X$59,$B156)/INDEX(X$99:X$102,$C156),"."))</f>
        <v>na</v>
      </c>
      <c r="Y156" s="144" t="str" cm="1">
        <f t="array" ref="Y156">IF(ISERROR($B156),"na",IFERROR(INDEX(Y$54:Y$59,$B156)/INDEX(Y$99:Y$102,$C156),"."))</f>
        <v>na</v>
      </c>
      <c r="Z156" s="144" t="str" cm="1">
        <f t="array" ref="Z156">IF(ISERROR($B156),"na",IFERROR(INDEX(Z$54:Z$59,$B156)/INDEX(Z$99:Z$102,$C156),"."))</f>
        <v>na</v>
      </c>
      <c r="AA156" s="144" t="str" cm="1">
        <f t="array" ref="AA156">IF(ISERROR($B156),"na",IFERROR(INDEX(AA$54:AA$59,$B156)/INDEX(AA$99:AA$102,$C156),"."))</f>
        <v>na</v>
      </c>
      <c r="AB156" s="144" t="str" cm="1">
        <f t="array" ref="AB156">IF(ISERROR($B156),"na",IFERROR(INDEX(AB$54:AB$59,$B156)/INDEX(AB$99:AB$102,$C156),"."))</f>
        <v>na</v>
      </c>
      <c r="AC156" s="144" t="str" cm="1">
        <f t="array" ref="AC156">IF(ISERROR($B156),"na",IFERROR(INDEX(AC$54:AC$59,$B156)/INDEX(AC$99:AC$102,$C156),"."))</f>
        <v>na</v>
      </c>
      <c r="AD156" s="144" t="str" cm="1">
        <f t="array" ref="AD156">IF(ISERROR($B156),"na",IFERROR(INDEX(AD$54:AD$59,$B156)/INDEX(AD$99:AD$102,$C156),"."))</f>
        <v>na</v>
      </c>
      <c r="AE156" s="144" t="str" cm="1">
        <f t="array" ref="AE156">IF(ISERROR($B156),"na",IFERROR(INDEX(AE$54:AE$59,$B156)/INDEX(AE$99:AE$102,$C156),"."))</f>
        <v>na</v>
      </c>
      <c r="AF156" s="144" t="str" cm="1">
        <f t="array" ref="AF156">IF(ISERROR($B156),"na",IFERROR(INDEX(AF$54:AF$59,$B156)/INDEX(AF$99:AF$102,$C156),"."))</f>
        <v>na</v>
      </c>
      <c r="AG156" s="144" t="str" cm="1">
        <f t="array" ref="AG156">IF(ISERROR($B156),"na",IFERROR(INDEX(AG$54:AG$59,$B156)/INDEX(AG$99:AG$102,$C156),"."))</f>
        <v>na</v>
      </c>
      <c r="AH156" s="144" t="str" cm="1">
        <f t="array" ref="AH156">IF(ISERROR($B156),"na",IFERROR(INDEX(AH$54:AH$59,$B156)/INDEX(AH$99:AH$102,$C156),"."))</f>
        <v>na</v>
      </c>
      <c r="AI156" s="144" t="str" cm="1">
        <f t="array" ref="AI156">IF(ISERROR($B156),"na",IFERROR(INDEX(AI$54:AI$59,$B156)/INDEX(AI$99:AI$102,$C156),"."))</f>
        <v>na</v>
      </c>
      <c r="AJ156" s="144" t="str" cm="1">
        <f t="array" ref="AJ156">IF(ISERROR($B156),"na",IFERROR(INDEX(AJ$54:AJ$59,$B156)/INDEX(AJ$99:AJ$102,$C156),"."))</f>
        <v>na</v>
      </c>
      <c r="AK156" s="144" t="str" cm="1">
        <f t="array" ref="AK156">IF(ISERROR($B156),"na",IFERROR(INDEX(AK$54:AK$59,$B156)/INDEX(AK$99:AK$102,$C156),"."))</f>
        <v>na</v>
      </c>
      <c r="AL156" s="3"/>
    </row>
    <row r="157" spans="1:38" hidden="1" outlineLevel="2" x14ac:dyDescent="0.25">
      <c r="A157" s="43">
        <f t="shared" si="101"/>
        <v>4</v>
      </c>
      <c r="B157" s="43" t="e">
        <f>_xlfn.XMATCH(_xlfn.XLOOKUP($A157,$B$54:$B$68,$D$54:$D$68),Fuel_Opex_Type_BC_Ar)</f>
        <v>#N/A</v>
      </c>
      <c r="C157" s="43" t="e">
        <f>_xlfn.XMATCH(_xlfn.XLOOKUP($A157,$B$54:$B$68,$C$54:$C$68),Fuel_Type_BC_Ar)</f>
        <v>#N/A</v>
      </c>
      <c r="D157" s="44"/>
      <c r="E157" s="44" t="str" cm="1">
        <f t="array" ref="E157">IF(ISERROR($C157),".","$/"&amp;INDEX($C$106:$C$109,$C157))</f>
        <v>.</v>
      </c>
      <c r="F157" s="45" t="str">
        <f>IF(ISERROR(C157),"na","BC")</f>
        <v>na</v>
      </c>
      <c r="G157" s="145" t="str" cm="1">
        <f t="array" ref="G157">IF(ISERROR($B157),"na",IFERROR(INDEX(G$63:G$68,$B157)/INDEX(G$106:G$109,$C157),"."))</f>
        <v>na</v>
      </c>
      <c r="H157" s="145" t="str" cm="1">
        <f t="array" ref="H157">IF(ISERROR($B157),"na",IFERROR(INDEX(H$63:H$68,$B157)/INDEX(H$106:H$109,$C157),"."))</f>
        <v>na</v>
      </c>
      <c r="I157" s="145" t="str" cm="1">
        <f t="array" ref="I157">IF(ISERROR($B157),"na",IFERROR(INDEX(I$63:I$68,$B157)/INDEX(I$106:I$109,$C157),"."))</f>
        <v>na</v>
      </c>
      <c r="J157" s="145" t="str" cm="1">
        <f t="array" ref="J157">IF(ISERROR($B157),"na",IFERROR(INDEX(J$63:J$68,$B157)/INDEX(J$106:J$109,$C157),"."))</f>
        <v>na</v>
      </c>
      <c r="K157" s="145" t="str" cm="1">
        <f t="array" ref="K157">IF(ISERROR($B157),"na",IFERROR(INDEX(K$63:K$68,$B157)/INDEX(K$106:K$109,$C157),"."))</f>
        <v>na</v>
      </c>
      <c r="L157" s="145" t="str" cm="1">
        <f t="array" ref="L157">IF(ISERROR($B157),"na",IFERROR(INDEX(L$63:L$68,$B157)/INDEX(L$106:L$109,$C157),"."))</f>
        <v>na</v>
      </c>
      <c r="M157" s="145" t="str" cm="1">
        <f t="array" ref="M157">IF(ISERROR($B157),"na",IFERROR(INDEX(M$63:M$68,$B157)/INDEX(M$106:M$109,$C157),"."))</f>
        <v>na</v>
      </c>
      <c r="N157" s="145" t="str" cm="1">
        <f t="array" ref="N157">IF(ISERROR($B157),"na",IFERROR(INDEX(N$63:N$68,$B157)/INDEX(N$106:N$109,$C157),"."))</f>
        <v>na</v>
      </c>
      <c r="O157" s="145" t="str" cm="1">
        <f t="array" ref="O157">IF(ISERROR($B157),"na",IFERROR(INDEX(O$63:O$68,$B157)/INDEX(O$106:O$109,$C157),"."))</f>
        <v>na</v>
      </c>
      <c r="P157" s="145" t="str" cm="1">
        <f t="array" ref="P157">IF(ISERROR($B157),"na",IFERROR(INDEX(P$63:P$68,$B157)/INDEX(P$106:P$109,$C157),"."))</f>
        <v>na</v>
      </c>
      <c r="Q157" s="145" t="str" cm="1">
        <f t="array" ref="Q157">IF(ISERROR($B157),"na",IFERROR(INDEX(Q$63:Q$68,$B157)/INDEX(Q$106:Q$109,$C157),"."))</f>
        <v>na</v>
      </c>
      <c r="R157" s="145" t="str" cm="1">
        <f t="array" ref="R157">IF(ISERROR($B157),"na",IFERROR(INDEX(R$63:R$68,$B157)/INDEX(R$106:R$109,$C157),"."))</f>
        <v>na</v>
      </c>
      <c r="S157" s="145" t="str" cm="1">
        <f t="array" ref="S157">IF(ISERROR($B157),"na",IFERROR(INDEX(S$63:S$68,$B157)/INDEX(S$106:S$109,$C157),"."))</f>
        <v>na</v>
      </c>
      <c r="T157" s="145" t="str" cm="1">
        <f t="array" ref="T157">IF(ISERROR($B157),"na",IFERROR(INDEX(T$63:T$68,$B157)/INDEX(T$106:T$109,$C157),"."))</f>
        <v>na</v>
      </c>
      <c r="U157" s="145" t="str" cm="1">
        <f t="array" ref="U157">IF(ISERROR($B157),"na",IFERROR(INDEX(U$63:U$68,$B157)/INDEX(U$106:U$109,$C157),"."))</f>
        <v>na</v>
      </c>
      <c r="V157" s="145" t="str" cm="1">
        <f t="array" ref="V157">IF(ISERROR($B157),"na",IFERROR(INDEX(V$63:V$68,$B157)/INDEX(V$106:V$109,$C157),"."))</f>
        <v>na</v>
      </c>
      <c r="W157" s="145" t="str" cm="1">
        <f t="array" ref="W157">IF(ISERROR($B157),"na",IFERROR(INDEX(W$63:W$68,$B157)/INDEX(W$106:W$109,$C157),"."))</f>
        <v>na</v>
      </c>
      <c r="X157" s="145" t="str" cm="1">
        <f t="array" ref="X157">IF(ISERROR($B157),"na",IFERROR(INDEX(X$63:X$68,$B157)/INDEX(X$106:X$109,$C157),"."))</f>
        <v>na</v>
      </c>
      <c r="Y157" s="145" t="str" cm="1">
        <f t="array" ref="Y157">IF(ISERROR($B157),"na",IFERROR(INDEX(Y$63:Y$68,$B157)/INDEX(Y$106:Y$109,$C157),"."))</f>
        <v>na</v>
      </c>
      <c r="Z157" s="145" t="str" cm="1">
        <f t="array" ref="Z157">IF(ISERROR($B157),"na",IFERROR(INDEX(Z$63:Z$68,$B157)/INDEX(Z$106:Z$109,$C157),"."))</f>
        <v>na</v>
      </c>
      <c r="AA157" s="145" t="str" cm="1">
        <f t="array" ref="AA157">IF(ISERROR($B157),"na",IFERROR(INDEX(AA$63:AA$68,$B157)/INDEX(AA$106:AA$109,$C157),"."))</f>
        <v>na</v>
      </c>
      <c r="AB157" s="145" t="str" cm="1">
        <f t="array" ref="AB157">IF(ISERROR($B157),"na",IFERROR(INDEX(AB$63:AB$68,$B157)/INDEX(AB$106:AB$109,$C157),"."))</f>
        <v>na</v>
      </c>
      <c r="AC157" s="145" t="str" cm="1">
        <f t="array" ref="AC157">IF(ISERROR($B157),"na",IFERROR(INDEX(AC$63:AC$68,$B157)/INDEX(AC$106:AC$109,$C157),"."))</f>
        <v>na</v>
      </c>
      <c r="AD157" s="145" t="str" cm="1">
        <f t="array" ref="AD157">IF(ISERROR($B157),"na",IFERROR(INDEX(AD$63:AD$68,$B157)/INDEX(AD$106:AD$109,$C157),"."))</f>
        <v>na</v>
      </c>
      <c r="AE157" s="145" t="str" cm="1">
        <f t="array" ref="AE157">IF(ISERROR($B157),"na",IFERROR(INDEX(AE$63:AE$68,$B157)/INDEX(AE$106:AE$109,$C157),"."))</f>
        <v>na</v>
      </c>
      <c r="AF157" s="145" t="str" cm="1">
        <f t="array" ref="AF157">IF(ISERROR($B157),"na",IFERROR(INDEX(AF$63:AF$68,$B157)/INDEX(AF$106:AF$109,$C157),"."))</f>
        <v>na</v>
      </c>
      <c r="AG157" s="145" t="str" cm="1">
        <f t="array" ref="AG157">IF(ISERROR($B157),"na",IFERROR(INDEX(AG$63:AG$68,$B157)/INDEX(AG$106:AG$109,$C157),"."))</f>
        <v>na</v>
      </c>
      <c r="AH157" s="145" t="str" cm="1">
        <f t="array" ref="AH157">IF(ISERROR($B157),"na",IFERROR(INDEX(AH$63:AH$68,$B157)/INDEX(AH$106:AH$109,$C157),"."))</f>
        <v>na</v>
      </c>
      <c r="AI157" s="145" t="str" cm="1">
        <f t="array" ref="AI157">IF(ISERROR($B157),"na",IFERROR(INDEX(AI$63:AI$68,$B157)/INDEX(AI$106:AI$109,$C157),"."))</f>
        <v>na</v>
      </c>
      <c r="AJ157" s="145" t="str" cm="1">
        <f t="array" ref="AJ157">IF(ISERROR($B157),"na",IFERROR(INDEX(AJ$63:AJ$68,$B157)/INDEX(AJ$106:AJ$109,$C157),"."))</f>
        <v>na</v>
      </c>
      <c r="AK157" s="145" t="str" cm="1">
        <f t="array" ref="AK157">IF(ISERROR($B157),"na",IFERROR(INDEX(AK$63:AK$68,$B157)/INDEX(AK$106:AK$109,$C157),"."))</f>
        <v>na</v>
      </c>
      <c r="AL157" s="3"/>
    </row>
    <row r="158" spans="1:38" hidden="1" outlineLevel="1" collapsed="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idden="1" outlineLevel="1" x14ac:dyDescent="0.25">
      <c r="A159" s="3"/>
      <c r="B159" s="3"/>
      <c r="C159" s="3"/>
      <c r="D159" s="9" t="s">
        <v>129</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idden="1" outlineLevel="2" x14ac:dyDescent="0.25">
      <c r="A160" s="41" t="s">
        <v>130</v>
      </c>
      <c r="B160" s="41" t="s">
        <v>131</v>
      </c>
      <c r="C160" s="41" t="s">
        <v>132</v>
      </c>
      <c r="D160" s="9"/>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idden="1" outlineLevel="2" x14ac:dyDescent="0.25">
      <c r="A161" s="41" t="e">
        <f>_xlfn.XMATCH(_xlfn.XLOOKUP($A150,$B$54:$B$68,$C$54:$C$68),EF_Fuel_Ar)</f>
        <v>#N/A</v>
      </c>
      <c r="B161" s="41" t="e">
        <f>_xlfn.XMATCH(MID(IF($E150&lt;&gt;".",$E150,$E151),FIND("/",IF($E150&lt;&gt;".",$E150,$E151))+1,100),EF_DefaultPrice_ConvertFrom_Ar)</f>
        <v>#VALUE!</v>
      </c>
      <c r="C161" s="41" t="e" cm="1">
        <f t="array" ref="C161">INDEX(EF_DefaultPrice_Factor_Ar,$B161,$A161)</f>
        <v>#VALUE!</v>
      </c>
      <c r="D161" s="3" t="str">
        <f>D150</f>
        <v>na</v>
      </c>
      <c r="E161" s="3" t="str" cm="1">
        <f t="array" ref="E161">IFERROR("$/"&amp;INDEX(EF_DefaultPrice_Ar,$A161),"na")</f>
        <v>na</v>
      </c>
      <c r="F161" s="3" t="str">
        <f>F150</f>
        <v>na</v>
      </c>
      <c r="G161" s="144" t="str">
        <f>IF(ISNUMBER(G150),G150*$C161/In_Out!B$23,G150)</f>
        <v>na</v>
      </c>
      <c r="H161" s="144" t="str">
        <f>IF(ISNUMBER(H150),H150*$C161/In_Out!C$23,H150)</f>
        <v>na</v>
      </c>
      <c r="I161" s="144" t="str">
        <f>IF(ISNUMBER(I150),I150*$C161/In_Out!D$23,I150)</f>
        <v>na</v>
      </c>
      <c r="J161" s="144" t="str">
        <f>IF(ISNUMBER(J150),J150*$C161/In_Out!E$23,J150)</f>
        <v>na</v>
      </c>
      <c r="K161" s="144" t="str">
        <f>IF(ISNUMBER(K150),K150*$C161/In_Out!F$23,K150)</f>
        <v>na</v>
      </c>
      <c r="L161" s="144" t="str">
        <f>IF(ISNUMBER(L150),L150*$C161/In_Out!G$23,L150)</f>
        <v>na</v>
      </c>
      <c r="M161" s="144" t="str">
        <f>IF(ISNUMBER(M150),M150*$C161/In_Out!H$23,M150)</f>
        <v>na</v>
      </c>
      <c r="N161" s="144" t="str">
        <f>IF(ISNUMBER(N150),N150*$C161/In_Out!I$23,N150)</f>
        <v>na</v>
      </c>
      <c r="O161" s="144" t="str">
        <f>IF(ISNUMBER(O150),O150*$C161/In_Out!J$23,O150)</f>
        <v>na</v>
      </c>
      <c r="P161" s="144" t="str">
        <f>IF(ISNUMBER(P150),P150*$C161/In_Out!K$23,P150)</f>
        <v>na</v>
      </c>
      <c r="Q161" s="144" t="str">
        <f>IF(ISNUMBER(Q150),Q150*$C161/In_Out!L$23,Q150)</f>
        <v>na</v>
      </c>
      <c r="R161" s="144" t="str">
        <f>IF(ISNUMBER(R150),R150*$C161/In_Out!M$23,R150)</f>
        <v>na</v>
      </c>
      <c r="S161" s="144" t="str">
        <f>IF(ISNUMBER(S150),S150*$C161/In_Out!N$23,S150)</f>
        <v>na</v>
      </c>
      <c r="T161" s="144" t="str">
        <f>IF(ISNUMBER(T150),T150*$C161/In_Out!O$23,T150)</f>
        <v>na</v>
      </c>
      <c r="U161" s="144" t="str">
        <f>IF(ISNUMBER(U150),U150*$C161/In_Out!P$23,U150)</f>
        <v>na</v>
      </c>
      <c r="V161" s="144" t="str">
        <f>IF(ISNUMBER(V150),V150*$C161/In_Out!Q$23,V150)</f>
        <v>na</v>
      </c>
      <c r="W161" s="144" t="str">
        <f>IF(ISNUMBER(W150),W150*$C161/In_Out!R$23,W150)</f>
        <v>na</v>
      </c>
      <c r="X161" s="144" t="str">
        <f>IF(ISNUMBER(X150),X150*$C161/In_Out!S$23,X150)</f>
        <v>na</v>
      </c>
      <c r="Y161" s="144" t="str">
        <f>IF(ISNUMBER(Y150),Y150*$C161/In_Out!T$23,Y150)</f>
        <v>na</v>
      </c>
      <c r="Z161" s="144" t="str">
        <f>IF(ISNUMBER(Z150),Z150*$C161/In_Out!U$23,Z150)</f>
        <v>na</v>
      </c>
      <c r="AA161" s="144" t="str">
        <f>IF(ISNUMBER(AA150),AA150*$C161/In_Out!V$23,AA150)</f>
        <v>na</v>
      </c>
      <c r="AB161" s="144" t="str">
        <f>IF(ISNUMBER(AB150),AB150*$C161/In_Out!W$23,AB150)</f>
        <v>na</v>
      </c>
      <c r="AC161" s="144" t="str">
        <f>IF(ISNUMBER(AC150),AC150*$C161/In_Out!X$23,AC150)</f>
        <v>na</v>
      </c>
      <c r="AD161" s="144" t="str">
        <f>IF(ISNUMBER(AD150),AD150*$C161/In_Out!Y$23,AD150)</f>
        <v>na</v>
      </c>
      <c r="AE161" s="144" t="str">
        <f>IF(ISNUMBER(AE150),AE150*$C161/In_Out!Z$23,AE150)</f>
        <v>na</v>
      </c>
      <c r="AF161" s="144" t="str">
        <f>IF(ISNUMBER(AF150),AF150*$C161/In_Out!AA$23,AF150)</f>
        <v>na</v>
      </c>
      <c r="AG161" s="144" t="str">
        <f>IF(ISNUMBER(AG150),AG150*$C161/In_Out!AB$23,AG150)</f>
        <v>na</v>
      </c>
      <c r="AH161" s="144" t="str">
        <f>IF(ISNUMBER(AH150),AH150*$C161/In_Out!AC$23,AH150)</f>
        <v>na</v>
      </c>
      <c r="AI161" s="144" t="str">
        <f>IF(ISNUMBER(AI150),AI150*$C161/In_Out!AD$23,AI150)</f>
        <v>na</v>
      </c>
      <c r="AJ161" s="144" t="str">
        <f>IF(ISNUMBER(AJ150),AJ150*$C161/In_Out!AE$23,AJ150)</f>
        <v>na</v>
      </c>
      <c r="AK161" s="144" t="str">
        <f>IF(ISNUMBER(AK150),AK150*$C161/In_Out!AF$23,AK150)</f>
        <v>na</v>
      </c>
      <c r="AL161" s="3"/>
    </row>
    <row r="162" spans="1:38" hidden="1" outlineLevel="2" x14ac:dyDescent="0.25">
      <c r="A162" s="41"/>
      <c r="B162" s="41"/>
      <c r="C162" s="43" t="e">
        <f>C161</f>
        <v>#VALUE!</v>
      </c>
      <c r="D162" s="44"/>
      <c r="E162" s="44" t="str">
        <f>E161</f>
        <v>na</v>
      </c>
      <c r="F162" s="3" t="str">
        <f t="shared" ref="F162:F168" si="102">F151</f>
        <v>na</v>
      </c>
      <c r="G162" s="145" t="str">
        <f>IF(ISNUMBER(G151),G151*$C162/In_Out!B$23,G151)</f>
        <v>na</v>
      </c>
      <c r="H162" s="145" t="str">
        <f>IF(ISNUMBER(H151),H151*$C162/In_Out!C$23,H151)</f>
        <v>na</v>
      </c>
      <c r="I162" s="145" t="str">
        <f>IF(ISNUMBER(I151),I151*$C162/In_Out!D$23,I151)</f>
        <v>na</v>
      </c>
      <c r="J162" s="145" t="str">
        <f>IF(ISNUMBER(J151),J151*$C162/In_Out!E$23,J151)</f>
        <v>na</v>
      </c>
      <c r="K162" s="145" t="str">
        <f>IF(ISNUMBER(K151),K151*$C162/In_Out!F$23,K151)</f>
        <v>na</v>
      </c>
      <c r="L162" s="145" t="str">
        <f>IF(ISNUMBER(L151),L151*$C162/In_Out!G$23,L151)</f>
        <v>na</v>
      </c>
      <c r="M162" s="145" t="str">
        <f>IF(ISNUMBER(M151),M151*$C162/In_Out!H$23,M151)</f>
        <v>na</v>
      </c>
      <c r="N162" s="145" t="str">
        <f>IF(ISNUMBER(N151),N151*$C162/In_Out!I$23,N151)</f>
        <v>na</v>
      </c>
      <c r="O162" s="145" t="str">
        <f>IF(ISNUMBER(O151),O151*$C162/In_Out!J$23,O151)</f>
        <v>na</v>
      </c>
      <c r="P162" s="145" t="str">
        <f>IF(ISNUMBER(P151),P151*$C162/In_Out!K$23,P151)</f>
        <v>na</v>
      </c>
      <c r="Q162" s="145" t="str">
        <f>IF(ISNUMBER(Q151),Q151*$C162/In_Out!L$23,Q151)</f>
        <v>na</v>
      </c>
      <c r="R162" s="145" t="str">
        <f>IF(ISNUMBER(R151),R151*$C162/In_Out!M$23,R151)</f>
        <v>na</v>
      </c>
      <c r="S162" s="145" t="str">
        <f>IF(ISNUMBER(S151),S151*$C162/In_Out!N$23,S151)</f>
        <v>na</v>
      </c>
      <c r="T162" s="145" t="str">
        <f>IF(ISNUMBER(T151),T151*$C162/In_Out!O$23,T151)</f>
        <v>na</v>
      </c>
      <c r="U162" s="145" t="str">
        <f>IF(ISNUMBER(U151),U151*$C162/In_Out!P$23,U151)</f>
        <v>na</v>
      </c>
      <c r="V162" s="145" t="str">
        <f>IF(ISNUMBER(V151),V151*$C162/In_Out!Q$23,V151)</f>
        <v>na</v>
      </c>
      <c r="W162" s="145" t="str">
        <f>IF(ISNUMBER(W151),W151*$C162/In_Out!R$23,W151)</f>
        <v>na</v>
      </c>
      <c r="X162" s="145" t="str">
        <f>IF(ISNUMBER(X151),X151*$C162/In_Out!S$23,X151)</f>
        <v>na</v>
      </c>
      <c r="Y162" s="145" t="str">
        <f>IF(ISNUMBER(Y151),Y151*$C162/In_Out!T$23,Y151)</f>
        <v>na</v>
      </c>
      <c r="Z162" s="145" t="str">
        <f>IF(ISNUMBER(Z151),Z151*$C162/In_Out!U$23,Z151)</f>
        <v>na</v>
      </c>
      <c r="AA162" s="145" t="str">
        <f>IF(ISNUMBER(AA151),AA151*$C162/In_Out!V$23,AA151)</f>
        <v>na</v>
      </c>
      <c r="AB162" s="145" t="str">
        <f>IF(ISNUMBER(AB151),AB151*$C162/In_Out!W$23,AB151)</f>
        <v>na</v>
      </c>
      <c r="AC162" s="145" t="str">
        <f>IF(ISNUMBER(AC151),AC151*$C162/In_Out!X$23,AC151)</f>
        <v>na</v>
      </c>
      <c r="AD162" s="145" t="str">
        <f>IF(ISNUMBER(AD151),AD151*$C162/In_Out!Y$23,AD151)</f>
        <v>na</v>
      </c>
      <c r="AE162" s="145" t="str">
        <f>IF(ISNUMBER(AE151),AE151*$C162/In_Out!Z$23,AE151)</f>
        <v>na</v>
      </c>
      <c r="AF162" s="145" t="str">
        <f>IF(ISNUMBER(AF151),AF151*$C162/In_Out!AA$23,AF151)</f>
        <v>na</v>
      </c>
      <c r="AG162" s="145" t="str">
        <f>IF(ISNUMBER(AG151),AG151*$C162/In_Out!AB$23,AG151)</f>
        <v>na</v>
      </c>
      <c r="AH162" s="145" t="str">
        <f>IF(ISNUMBER(AH151),AH151*$C162/In_Out!AC$23,AH151)</f>
        <v>na</v>
      </c>
      <c r="AI162" s="145" t="str">
        <f>IF(ISNUMBER(AI151),AI151*$C162/In_Out!AD$23,AI151)</f>
        <v>na</v>
      </c>
      <c r="AJ162" s="145" t="str">
        <f>IF(ISNUMBER(AJ151),AJ151*$C162/In_Out!AE$23,AJ151)</f>
        <v>na</v>
      </c>
      <c r="AK162" s="145" t="str">
        <f>IF(ISNUMBER(AK151),AK151*$C162/In_Out!AF$23,AK151)</f>
        <v>na</v>
      </c>
      <c r="AL162" s="3"/>
    </row>
    <row r="163" spans="1:38" hidden="1" outlineLevel="2" x14ac:dyDescent="0.25">
      <c r="A163" s="41" t="e">
        <f>_xlfn.XMATCH(_xlfn.XLOOKUP($A152,$B$54:$B$68,$C$54:$C$68),EF_Fuel_Ar)</f>
        <v>#N/A</v>
      </c>
      <c r="B163" s="41" t="e">
        <f>_xlfn.XMATCH(MID(IF($E152&lt;&gt;".",$E152,$E153),FIND("/",IF($E152&lt;&gt;".",$E152,$E153))+1,100),EF_DefaultPrice_ConvertFrom_Ar)</f>
        <v>#VALUE!</v>
      </c>
      <c r="C163" s="41" t="e" cm="1">
        <f t="array" ref="C163">INDEX(EF_DefaultPrice_Factor_Ar,$B163,$A163)</f>
        <v>#VALUE!</v>
      </c>
      <c r="D163" s="3" t="str">
        <f t="shared" ref="D163" si="103">D152</f>
        <v>na</v>
      </c>
      <c r="E163" s="3" t="str" cm="1">
        <f t="array" ref="E163">IFERROR("$/"&amp;INDEX(EF_DefaultPrice_Ar,$A163),"na")</f>
        <v>na</v>
      </c>
      <c r="F163" s="3" t="str">
        <f t="shared" si="102"/>
        <v>na</v>
      </c>
      <c r="G163" s="144" t="str">
        <f>IF(ISNUMBER(G152),G152*$C163/In_Out!B$23,G152)</f>
        <v>na</v>
      </c>
      <c r="H163" s="144" t="str">
        <f>IF(ISNUMBER(H152),H152*$C163/In_Out!C$23,H152)</f>
        <v>na</v>
      </c>
      <c r="I163" s="144" t="str">
        <f>IF(ISNUMBER(I152),I152*$C163/In_Out!D$23,I152)</f>
        <v>na</v>
      </c>
      <c r="J163" s="144" t="str">
        <f>IF(ISNUMBER(J152),J152*$C163/In_Out!E$23,J152)</f>
        <v>na</v>
      </c>
      <c r="K163" s="144" t="str">
        <f>IF(ISNUMBER(K152),K152*$C163/In_Out!F$23,K152)</f>
        <v>na</v>
      </c>
      <c r="L163" s="144" t="str">
        <f>IF(ISNUMBER(L152),L152*$C163/In_Out!G$23,L152)</f>
        <v>na</v>
      </c>
      <c r="M163" s="144" t="str">
        <f>IF(ISNUMBER(M152),M152*$C163/In_Out!H$23,M152)</f>
        <v>na</v>
      </c>
      <c r="N163" s="144" t="str">
        <f>IF(ISNUMBER(N152),N152*$C163/In_Out!I$23,N152)</f>
        <v>na</v>
      </c>
      <c r="O163" s="144" t="str">
        <f>IF(ISNUMBER(O152),O152*$C163/In_Out!J$23,O152)</f>
        <v>na</v>
      </c>
      <c r="P163" s="144" t="str">
        <f>IF(ISNUMBER(P152),P152*$C163/In_Out!K$23,P152)</f>
        <v>na</v>
      </c>
      <c r="Q163" s="144" t="str">
        <f>IF(ISNUMBER(Q152),Q152*$C163/In_Out!L$23,Q152)</f>
        <v>na</v>
      </c>
      <c r="R163" s="144" t="str">
        <f>IF(ISNUMBER(R152),R152*$C163/In_Out!M$23,R152)</f>
        <v>na</v>
      </c>
      <c r="S163" s="144" t="str">
        <f>IF(ISNUMBER(S152),S152*$C163/In_Out!N$23,S152)</f>
        <v>na</v>
      </c>
      <c r="T163" s="144" t="str">
        <f>IF(ISNUMBER(T152),T152*$C163/In_Out!O$23,T152)</f>
        <v>na</v>
      </c>
      <c r="U163" s="144" t="str">
        <f>IF(ISNUMBER(U152),U152*$C163/In_Out!P$23,U152)</f>
        <v>na</v>
      </c>
      <c r="V163" s="144" t="str">
        <f>IF(ISNUMBER(V152),V152*$C163/In_Out!Q$23,V152)</f>
        <v>na</v>
      </c>
      <c r="W163" s="144" t="str">
        <f>IF(ISNUMBER(W152),W152*$C163/In_Out!R$23,W152)</f>
        <v>na</v>
      </c>
      <c r="X163" s="144" t="str">
        <f>IF(ISNUMBER(X152),X152*$C163/In_Out!S$23,X152)</f>
        <v>na</v>
      </c>
      <c r="Y163" s="144" t="str">
        <f>IF(ISNUMBER(Y152),Y152*$C163/In_Out!T$23,Y152)</f>
        <v>na</v>
      </c>
      <c r="Z163" s="144" t="str">
        <f>IF(ISNUMBER(Z152),Z152*$C163/In_Out!U$23,Z152)</f>
        <v>na</v>
      </c>
      <c r="AA163" s="144" t="str">
        <f>IF(ISNUMBER(AA152),AA152*$C163/In_Out!V$23,AA152)</f>
        <v>na</v>
      </c>
      <c r="AB163" s="144" t="str">
        <f>IF(ISNUMBER(AB152),AB152*$C163/In_Out!W$23,AB152)</f>
        <v>na</v>
      </c>
      <c r="AC163" s="144" t="str">
        <f>IF(ISNUMBER(AC152),AC152*$C163/In_Out!X$23,AC152)</f>
        <v>na</v>
      </c>
      <c r="AD163" s="144" t="str">
        <f>IF(ISNUMBER(AD152),AD152*$C163/In_Out!Y$23,AD152)</f>
        <v>na</v>
      </c>
      <c r="AE163" s="144" t="str">
        <f>IF(ISNUMBER(AE152),AE152*$C163/In_Out!Z$23,AE152)</f>
        <v>na</v>
      </c>
      <c r="AF163" s="144" t="str">
        <f>IF(ISNUMBER(AF152),AF152*$C163/In_Out!AA$23,AF152)</f>
        <v>na</v>
      </c>
      <c r="AG163" s="144" t="str">
        <f>IF(ISNUMBER(AG152),AG152*$C163/In_Out!AB$23,AG152)</f>
        <v>na</v>
      </c>
      <c r="AH163" s="144" t="str">
        <f>IF(ISNUMBER(AH152),AH152*$C163/In_Out!AC$23,AH152)</f>
        <v>na</v>
      </c>
      <c r="AI163" s="144" t="str">
        <f>IF(ISNUMBER(AI152),AI152*$C163/In_Out!AD$23,AI152)</f>
        <v>na</v>
      </c>
      <c r="AJ163" s="144" t="str">
        <f>IF(ISNUMBER(AJ152),AJ152*$C163/In_Out!AE$23,AJ152)</f>
        <v>na</v>
      </c>
      <c r="AK163" s="144" t="str">
        <f>IF(ISNUMBER(AK152),AK152*$C163/In_Out!AF$23,AK152)</f>
        <v>na</v>
      </c>
      <c r="AL163" s="3"/>
    </row>
    <row r="164" spans="1:38" hidden="1" outlineLevel="2" x14ac:dyDescent="0.25">
      <c r="A164" s="41"/>
      <c r="B164" s="41"/>
      <c r="C164" s="43" t="e">
        <f t="shared" ref="C164" si="104">C163</f>
        <v>#VALUE!</v>
      </c>
      <c r="D164" s="44"/>
      <c r="E164" s="44" t="str">
        <f t="shared" ref="E164" si="105">E163</f>
        <v>na</v>
      </c>
      <c r="F164" s="3" t="str">
        <f t="shared" si="102"/>
        <v>na</v>
      </c>
      <c r="G164" s="145" t="str">
        <f>IF(ISNUMBER(G153),G153*$C164/In_Out!B$23,G153)</f>
        <v>na</v>
      </c>
      <c r="H164" s="145" t="str">
        <f>IF(ISNUMBER(H153),H153*$C164/In_Out!C$23,H153)</f>
        <v>na</v>
      </c>
      <c r="I164" s="145" t="str">
        <f>IF(ISNUMBER(I153),I153*$C164/In_Out!D$23,I153)</f>
        <v>na</v>
      </c>
      <c r="J164" s="145" t="str">
        <f>IF(ISNUMBER(J153),J153*$C164/In_Out!E$23,J153)</f>
        <v>na</v>
      </c>
      <c r="K164" s="145" t="str">
        <f>IF(ISNUMBER(K153),K153*$C164/In_Out!F$23,K153)</f>
        <v>na</v>
      </c>
      <c r="L164" s="145" t="str">
        <f>IF(ISNUMBER(L153),L153*$C164/In_Out!G$23,L153)</f>
        <v>na</v>
      </c>
      <c r="M164" s="145" t="str">
        <f>IF(ISNUMBER(M153),M153*$C164/In_Out!H$23,M153)</f>
        <v>na</v>
      </c>
      <c r="N164" s="145" t="str">
        <f>IF(ISNUMBER(N153),N153*$C164/In_Out!I$23,N153)</f>
        <v>na</v>
      </c>
      <c r="O164" s="145" t="str">
        <f>IF(ISNUMBER(O153),O153*$C164/In_Out!J$23,O153)</f>
        <v>na</v>
      </c>
      <c r="P164" s="145" t="str">
        <f>IF(ISNUMBER(P153),P153*$C164/In_Out!K$23,P153)</f>
        <v>na</v>
      </c>
      <c r="Q164" s="145" t="str">
        <f>IF(ISNUMBER(Q153),Q153*$C164/In_Out!L$23,Q153)</f>
        <v>na</v>
      </c>
      <c r="R164" s="145" t="str">
        <f>IF(ISNUMBER(R153),R153*$C164/In_Out!M$23,R153)</f>
        <v>na</v>
      </c>
      <c r="S164" s="145" t="str">
        <f>IF(ISNUMBER(S153),S153*$C164/In_Out!N$23,S153)</f>
        <v>na</v>
      </c>
      <c r="T164" s="145" t="str">
        <f>IF(ISNUMBER(T153),T153*$C164/In_Out!O$23,T153)</f>
        <v>na</v>
      </c>
      <c r="U164" s="145" t="str">
        <f>IF(ISNUMBER(U153),U153*$C164/In_Out!P$23,U153)</f>
        <v>na</v>
      </c>
      <c r="V164" s="145" t="str">
        <f>IF(ISNUMBER(V153),V153*$C164/In_Out!Q$23,V153)</f>
        <v>na</v>
      </c>
      <c r="W164" s="145" t="str">
        <f>IF(ISNUMBER(W153),W153*$C164/In_Out!R$23,W153)</f>
        <v>na</v>
      </c>
      <c r="X164" s="145" t="str">
        <f>IF(ISNUMBER(X153),X153*$C164/In_Out!S$23,X153)</f>
        <v>na</v>
      </c>
      <c r="Y164" s="145" t="str">
        <f>IF(ISNUMBER(Y153),Y153*$C164/In_Out!T$23,Y153)</f>
        <v>na</v>
      </c>
      <c r="Z164" s="145" t="str">
        <f>IF(ISNUMBER(Z153),Z153*$C164/In_Out!U$23,Z153)</f>
        <v>na</v>
      </c>
      <c r="AA164" s="145" t="str">
        <f>IF(ISNUMBER(AA153),AA153*$C164/In_Out!V$23,AA153)</f>
        <v>na</v>
      </c>
      <c r="AB164" s="145" t="str">
        <f>IF(ISNUMBER(AB153),AB153*$C164/In_Out!W$23,AB153)</f>
        <v>na</v>
      </c>
      <c r="AC164" s="145" t="str">
        <f>IF(ISNUMBER(AC153),AC153*$C164/In_Out!X$23,AC153)</f>
        <v>na</v>
      </c>
      <c r="AD164" s="145" t="str">
        <f>IF(ISNUMBER(AD153),AD153*$C164/In_Out!Y$23,AD153)</f>
        <v>na</v>
      </c>
      <c r="AE164" s="145" t="str">
        <f>IF(ISNUMBER(AE153),AE153*$C164/In_Out!Z$23,AE153)</f>
        <v>na</v>
      </c>
      <c r="AF164" s="145" t="str">
        <f>IF(ISNUMBER(AF153),AF153*$C164/In_Out!AA$23,AF153)</f>
        <v>na</v>
      </c>
      <c r="AG164" s="145" t="str">
        <f>IF(ISNUMBER(AG153),AG153*$C164/In_Out!AB$23,AG153)</f>
        <v>na</v>
      </c>
      <c r="AH164" s="145" t="str">
        <f>IF(ISNUMBER(AH153),AH153*$C164/In_Out!AC$23,AH153)</f>
        <v>na</v>
      </c>
      <c r="AI164" s="145" t="str">
        <f>IF(ISNUMBER(AI153),AI153*$C164/In_Out!AD$23,AI153)</f>
        <v>na</v>
      </c>
      <c r="AJ164" s="145" t="str">
        <f>IF(ISNUMBER(AJ153),AJ153*$C164/In_Out!AE$23,AJ153)</f>
        <v>na</v>
      </c>
      <c r="AK164" s="145" t="str">
        <f>IF(ISNUMBER(AK153),AK153*$C164/In_Out!AF$23,AK153)</f>
        <v>na</v>
      </c>
      <c r="AL164" s="3"/>
    </row>
    <row r="165" spans="1:38" hidden="1" outlineLevel="2" x14ac:dyDescent="0.25">
      <c r="A165" s="41" t="e">
        <f>_xlfn.XMATCH(_xlfn.XLOOKUP($A154,$B$54:$B$68,$C$54:$C$68),EF_Fuel_Ar)</f>
        <v>#N/A</v>
      </c>
      <c r="B165" s="41" t="e">
        <f>_xlfn.XMATCH(MID(IF($E154&lt;&gt;".",$E154,$E155),FIND("/",IF($E154&lt;&gt;".",$E154,$E155))+1,100),EF_DefaultPrice_ConvertFrom_Ar)</f>
        <v>#VALUE!</v>
      </c>
      <c r="C165" s="41" t="e" cm="1">
        <f t="array" ref="C165">INDEX(EF_DefaultPrice_Factor_Ar,$B165,$A165)</f>
        <v>#VALUE!</v>
      </c>
      <c r="D165" s="3" t="str">
        <f t="shared" ref="D165" si="106">D154</f>
        <v>na</v>
      </c>
      <c r="E165" s="3" t="str" cm="1">
        <f t="array" ref="E165">IFERROR("$/"&amp;INDEX(EF_DefaultPrice_Ar,$A165),"na")</f>
        <v>na</v>
      </c>
      <c r="F165" s="3" t="str">
        <f t="shared" si="102"/>
        <v>na</v>
      </c>
      <c r="G165" s="144" t="str">
        <f>IF(ISNUMBER(G154),G154*$C165/In_Out!B$23,G154)</f>
        <v>na</v>
      </c>
      <c r="H165" s="144" t="str">
        <f>IF(ISNUMBER(H154),H154*$C165/In_Out!C$23,H154)</f>
        <v>na</v>
      </c>
      <c r="I165" s="144" t="str">
        <f>IF(ISNUMBER(I154),I154*$C165/In_Out!D$23,I154)</f>
        <v>na</v>
      </c>
      <c r="J165" s="144" t="str">
        <f>IF(ISNUMBER(J154),J154*$C165/In_Out!E$23,J154)</f>
        <v>na</v>
      </c>
      <c r="K165" s="144" t="str">
        <f>IF(ISNUMBER(K154),K154*$C165/In_Out!F$23,K154)</f>
        <v>na</v>
      </c>
      <c r="L165" s="144" t="str">
        <f>IF(ISNUMBER(L154),L154*$C165/In_Out!G$23,L154)</f>
        <v>na</v>
      </c>
      <c r="M165" s="144" t="str">
        <f>IF(ISNUMBER(M154),M154*$C165/In_Out!H$23,M154)</f>
        <v>na</v>
      </c>
      <c r="N165" s="144" t="str">
        <f>IF(ISNUMBER(N154),N154*$C165/In_Out!I$23,N154)</f>
        <v>na</v>
      </c>
      <c r="O165" s="144" t="str">
        <f>IF(ISNUMBER(O154),O154*$C165/In_Out!J$23,O154)</f>
        <v>na</v>
      </c>
      <c r="P165" s="144" t="str">
        <f>IF(ISNUMBER(P154),P154*$C165/In_Out!K$23,P154)</f>
        <v>na</v>
      </c>
      <c r="Q165" s="144" t="str">
        <f>IF(ISNUMBER(Q154),Q154*$C165/In_Out!L$23,Q154)</f>
        <v>na</v>
      </c>
      <c r="R165" s="144" t="str">
        <f>IF(ISNUMBER(R154),R154*$C165/In_Out!M$23,R154)</f>
        <v>na</v>
      </c>
      <c r="S165" s="144" t="str">
        <f>IF(ISNUMBER(S154),S154*$C165/In_Out!N$23,S154)</f>
        <v>na</v>
      </c>
      <c r="T165" s="144" t="str">
        <f>IF(ISNUMBER(T154),T154*$C165/In_Out!O$23,T154)</f>
        <v>na</v>
      </c>
      <c r="U165" s="144" t="str">
        <f>IF(ISNUMBER(U154),U154*$C165/In_Out!P$23,U154)</f>
        <v>na</v>
      </c>
      <c r="V165" s="144" t="str">
        <f>IF(ISNUMBER(V154),V154*$C165/In_Out!Q$23,V154)</f>
        <v>na</v>
      </c>
      <c r="W165" s="144" t="str">
        <f>IF(ISNUMBER(W154),W154*$C165/In_Out!R$23,W154)</f>
        <v>na</v>
      </c>
      <c r="X165" s="144" t="str">
        <f>IF(ISNUMBER(X154),X154*$C165/In_Out!S$23,X154)</f>
        <v>na</v>
      </c>
      <c r="Y165" s="144" t="str">
        <f>IF(ISNUMBER(Y154),Y154*$C165/In_Out!T$23,Y154)</f>
        <v>na</v>
      </c>
      <c r="Z165" s="144" t="str">
        <f>IF(ISNUMBER(Z154),Z154*$C165/In_Out!U$23,Z154)</f>
        <v>na</v>
      </c>
      <c r="AA165" s="144" t="str">
        <f>IF(ISNUMBER(AA154),AA154*$C165/In_Out!V$23,AA154)</f>
        <v>na</v>
      </c>
      <c r="AB165" s="144" t="str">
        <f>IF(ISNUMBER(AB154),AB154*$C165/In_Out!W$23,AB154)</f>
        <v>na</v>
      </c>
      <c r="AC165" s="144" t="str">
        <f>IF(ISNUMBER(AC154),AC154*$C165/In_Out!X$23,AC154)</f>
        <v>na</v>
      </c>
      <c r="AD165" s="144" t="str">
        <f>IF(ISNUMBER(AD154),AD154*$C165/In_Out!Y$23,AD154)</f>
        <v>na</v>
      </c>
      <c r="AE165" s="144" t="str">
        <f>IF(ISNUMBER(AE154),AE154*$C165/In_Out!Z$23,AE154)</f>
        <v>na</v>
      </c>
      <c r="AF165" s="144" t="str">
        <f>IF(ISNUMBER(AF154),AF154*$C165/In_Out!AA$23,AF154)</f>
        <v>na</v>
      </c>
      <c r="AG165" s="144" t="str">
        <f>IF(ISNUMBER(AG154),AG154*$C165/In_Out!AB$23,AG154)</f>
        <v>na</v>
      </c>
      <c r="AH165" s="144" t="str">
        <f>IF(ISNUMBER(AH154),AH154*$C165/In_Out!AC$23,AH154)</f>
        <v>na</v>
      </c>
      <c r="AI165" s="144" t="str">
        <f>IF(ISNUMBER(AI154),AI154*$C165/In_Out!AD$23,AI154)</f>
        <v>na</v>
      </c>
      <c r="AJ165" s="144" t="str">
        <f>IF(ISNUMBER(AJ154),AJ154*$C165/In_Out!AE$23,AJ154)</f>
        <v>na</v>
      </c>
      <c r="AK165" s="144" t="str">
        <f>IF(ISNUMBER(AK154),AK154*$C165/In_Out!AF$23,AK154)</f>
        <v>na</v>
      </c>
      <c r="AL165" s="3"/>
    </row>
    <row r="166" spans="1:38" hidden="1" outlineLevel="2" x14ac:dyDescent="0.25">
      <c r="A166" s="41"/>
      <c r="B166" s="41"/>
      <c r="C166" s="43" t="e">
        <f t="shared" ref="C166" si="107">C165</f>
        <v>#VALUE!</v>
      </c>
      <c r="D166" s="44"/>
      <c r="E166" s="44" t="str">
        <f t="shared" ref="E166" si="108">E165</f>
        <v>na</v>
      </c>
      <c r="F166" s="3" t="str">
        <f t="shared" si="102"/>
        <v>na</v>
      </c>
      <c r="G166" s="145" t="str">
        <f>IF(ISNUMBER(G155),G155*$C166/In_Out!B$23,G155)</f>
        <v>na</v>
      </c>
      <c r="H166" s="145" t="str">
        <f>IF(ISNUMBER(H155),H155*$C166/In_Out!C$23,H155)</f>
        <v>na</v>
      </c>
      <c r="I166" s="145" t="str">
        <f>IF(ISNUMBER(I155),I155*$C166/In_Out!D$23,I155)</f>
        <v>na</v>
      </c>
      <c r="J166" s="145" t="str">
        <f>IF(ISNUMBER(J155),J155*$C166/In_Out!E$23,J155)</f>
        <v>na</v>
      </c>
      <c r="K166" s="145" t="str">
        <f>IF(ISNUMBER(K155),K155*$C166/In_Out!F$23,K155)</f>
        <v>na</v>
      </c>
      <c r="L166" s="145" t="str">
        <f>IF(ISNUMBER(L155),L155*$C166/In_Out!G$23,L155)</f>
        <v>na</v>
      </c>
      <c r="M166" s="145" t="str">
        <f>IF(ISNUMBER(M155),M155*$C166/In_Out!H$23,M155)</f>
        <v>na</v>
      </c>
      <c r="N166" s="145" t="str">
        <f>IF(ISNUMBER(N155),N155*$C166/In_Out!I$23,N155)</f>
        <v>na</v>
      </c>
      <c r="O166" s="145" t="str">
        <f>IF(ISNUMBER(O155),O155*$C166/In_Out!J$23,O155)</f>
        <v>na</v>
      </c>
      <c r="P166" s="145" t="str">
        <f>IF(ISNUMBER(P155),P155*$C166/In_Out!K$23,P155)</f>
        <v>na</v>
      </c>
      <c r="Q166" s="145" t="str">
        <f>IF(ISNUMBER(Q155),Q155*$C166/In_Out!L$23,Q155)</f>
        <v>na</v>
      </c>
      <c r="R166" s="145" t="str">
        <f>IF(ISNUMBER(R155),R155*$C166/In_Out!M$23,R155)</f>
        <v>na</v>
      </c>
      <c r="S166" s="145" t="str">
        <f>IF(ISNUMBER(S155),S155*$C166/In_Out!N$23,S155)</f>
        <v>na</v>
      </c>
      <c r="T166" s="145" t="str">
        <f>IF(ISNUMBER(T155),T155*$C166/In_Out!O$23,T155)</f>
        <v>na</v>
      </c>
      <c r="U166" s="145" t="str">
        <f>IF(ISNUMBER(U155),U155*$C166/In_Out!P$23,U155)</f>
        <v>na</v>
      </c>
      <c r="V166" s="145" t="str">
        <f>IF(ISNUMBER(V155),V155*$C166/In_Out!Q$23,V155)</f>
        <v>na</v>
      </c>
      <c r="W166" s="145" t="str">
        <f>IF(ISNUMBER(W155),W155*$C166/In_Out!R$23,W155)</f>
        <v>na</v>
      </c>
      <c r="X166" s="145" t="str">
        <f>IF(ISNUMBER(X155),X155*$C166/In_Out!S$23,X155)</f>
        <v>na</v>
      </c>
      <c r="Y166" s="145" t="str">
        <f>IF(ISNUMBER(Y155),Y155*$C166/In_Out!T$23,Y155)</f>
        <v>na</v>
      </c>
      <c r="Z166" s="145" t="str">
        <f>IF(ISNUMBER(Z155),Z155*$C166/In_Out!U$23,Z155)</f>
        <v>na</v>
      </c>
      <c r="AA166" s="145" t="str">
        <f>IF(ISNUMBER(AA155),AA155*$C166/In_Out!V$23,AA155)</f>
        <v>na</v>
      </c>
      <c r="AB166" s="145" t="str">
        <f>IF(ISNUMBER(AB155),AB155*$C166/In_Out!W$23,AB155)</f>
        <v>na</v>
      </c>
      <c r="AC166" s="145" t="str">
        <f>IF(ISNUMBER(AC155),AC155*$C166/In_Out!X$23,AC155)</f>
        <v>na</v>
      </c>
      <c r="AD166" s="145" t="str">
        <f>IF(ISNUMBER(AD155),AD155*$C166/In_Out!Y$23,AD155)</f>
        <v>na</v>
      </c>
      <c r="AE166" s="145" t="str">
        <f>IF(ISNUMBER(AE155),AE155*$C166/In_Out!Z$23,AE155)</f>
        <v>na</v>
      </c>
      <c r="AF166" s="145" t="str">
        <f>IF(ISNUMBER(AF155),AF155*$C166/In_Out!AA$23,AF155)</f>
        <v>na</v>
      </c>
      <c r="AG166" s="145" t="str">
        <f>IF(ISNUMBER(AG155),AG155*$C166/In_Out!AB$23,AG155)</f>
        <v>na</v>
      </c>
      <c r="AH166" s="145" t="str">
        <f>IF(ISNUMBER(AH155),AH155*$C166/In_Out!AC$23,AH155)</f>
        <v>na</v>
      </c>
      <c r="AI166" s="145" t="str">
        <f>IF(ISNUMBER(AI155),AI155*$C166/In_Out!AD$23,AI155)</f>
        <v>na</v>
      </c>
      <c r="AJ166" s="145" t="str">
        <f>IF(ISNUMBER(AJ155),AJ155*$C166/In_Out!AE$23,AJ155)</f>
        <v>na</v>
      </c>
      <c r="AK166" s="145" t="str">
        <f>IF(ISNUMBER(AK155),AK155*$C166/In_Out!AF$23,AK155)</f>
        <v>na</v>
      </c>
      <c r="AL166" s="3"/>
    </row>
    <row r="167" spans="1:38" hidden="1" outlineLevel="2" x14ac:dyDescent="0.25">
      <c r="A167" s="41" t="e">
        <f>_xlfn.XMATCH(_xlfn.XLOOKUP($A156,$B$54:$B$68,$C$54:$C$68),EF_Fuel_Ar)</f>
        <v>#N/A</v>
      </c>
      <c r="B167" s="41" t="e">
        <f>_xlfn.XMATCH(MID(IF($E156&lt;&gt;".",$E156,$E157),FIND("/",IF($E156&lt;&gt;".",$E156,$E157))+1,100),EF_DefaultPrice_ConvertFrom_Ar)</f>
        <v>#VALUE!</v>
      </c>
      <c r="C167" s="41" t="e" cm="1">
        <f t="array" ref="C167">INDEX(EF_DefaultPrice_Factor_Ar,$B167,$A167)</f>
        <v>#VALUE!</v>
      </c>
      <c r="D167" s="3" t="str">
        <f t="shared" ref="D167" si="109">D156</f>
        <v>na</v>
      </c>
      <c r="E167" s="3" t="str" cm="1">
        <f t="array" ref="E167">IFERROR("$/"&amp;INDEX(EF_DefaultPrice_Ar,$A167),"na")</f>
        <v>na</v>
      </c>
      <c r="F167" s="3" t="str">
        <f t="shared" si="102"/>
        <v>na</v>
      </c>
      <c r="G167" s="144" t="str">
        <f>IF(ISNUMBER(G156),G156*$C167/In_Out!B$23,G156)</f>
        <v>na</v>
      </c>
      <c r="H167" s="144" t="str">
        <f>IF(ISNUMBER(H156),H156*$C167/In_Out!C$23,H156)</f>
        <v>na</v>
      </c>
      <c r="I167" s="144" t="str">
        <f>IF(ISNUMBER(I156),I156*$C167/In_Out!D$23,I156)</f>
        <v>na</v>
      </c>
      <c r="J167" s="144" t="str">
        <f>IF(ISNUMBER(J156),J156*$C167/In_Out!E$23,J156)</f>
        <v>na</v>
      </c>
      <c r="K167" s="144" t="str">
        <f>IF(ISNUMBER(K156),K156*$C167/In_Out!F$23,K156)</f>
        <v>na</v>
      </c>
      <c r="L167" s="144" t="str">
        <f>IF(ISNUMBER(L156),L156*$C167/In_Out!G$23,L156)</f>
        <v>na</v>
      </c>
      <c r="M167" s="144" t="str">
        <f>IF(ISNUMBER(M156),M156*$C167/In_Out!H$23,M156)</f>
        <v>na</v>
      </c>
      <c r="N167" s="144" t="str">
        <f>IF(ISNUMBER(N156),N156*$C167/In_Out!I$23,N156)</f>
        <v>na</v>
      </c>
      <c r="O167" s="144" t="str">
        <f>IF(ISNUMBER(O156),O156*$C167/In_Out!J$23,O156)</f>
        <v>na</v>
      </c>
      <c r="P167" s="144" t="str">
        <f>IF(ISNUMBER(P156),P156*$C167/In_Out!K$23,P156)</f>
        <v>na</v>
      </c>
      <c r="Q167" s="144" t="str">
        <f>IF(ISNUMBER(Q156),Q156*$C167/In_Out!L$23,Q156)</f>
        <v>na</v>
      </c>
      <c r="R167" s="144" t="str">
        <f>IF(ISNUMBER(R156),R156*$C167/In_Out!M$23,R156)</f>
        <v>na</v>
      </c>
      <c r="S167" s="144" t="str">
        <f>IF(ISNUMBER(S156),S156*$C167/In_Out!N$23,S156)</f>
        <v>na</v>
      </c>
      <c r="T167" s="144" t="str">
        <f>IF(ISNUMBER(T156),T156*$C167/In_Out!O$23,T156)</f>
        <v>na</v>
      </c>
      <c r="U167" s="144" t="str">
        <f>IF(ISNUMBER(U156),U156*$C167/In_Out!P$23,U156)</f>
        <v>na</v>
      </c>
      <c r="V167" s="144" t="str">
        <f>IF(ISNUMBER(V156),V156*$C167/In_Out!Q$23,V156)</f>
        <v>na</v>
      </c>
      <c r="W167" s="144" t="str">
        <f>IF(ISNUMBER(W156),W156*$C167/In_Out!R$23,W156)</f>
        <v>na</v>
      </c>
      <c r="X167" s="144" t="str">
        <f>IF(ISNUMBER(X156),X156*$C167/In_Out!S$23,X156)</f>
        <v>na</v>
      </c>
      <c r="Y167" s="144" t="str">
        <f>IF(ISNUMBER(Y156),Y156*$C167/In_Out!T$23,Y156)</f>
        <v>na</v>
      </c>
      <c r="Z167" s="144" t="str">
        <f>IF(ISNUMBER(Z156),Z156*$C167/In_Out!U$23,Z156)</f>
        <v>na</v>
      </c>
      <c r="AA167" s="144" t="str">
        <f>IF(ISNUMBER(AA156),AA156*$C167/In_Out!V$23,AA156)</f>
        <v>na</v>
      </c>
      <c r="AB167" s="144" t="str">
        <f>IF(ISNUMBER(AB156),AB156*$C167/In_Out!W$23,AB156)</f>
        <v>na</v>
      </c>
      <c r="AC167" s="144" t="str">
        <f>IF(ISNUMBER(AC156),AC156*$C167/In_Out!X$23,AC156)</f>
        <v>na</v>
      </c>
      <c r="AD167" s="144" t="str">
        <f>IF(ISNUMBER(AD156),AD156*$C167/In_Out!Y$23,AD156)</f>
        <v>na</v>
      </c>
      <c r="AE167" s="144" t="str">
        <f>IF(ISNUMBER(AE156),AE156*$C167/In_Out!Z$23,AE156)</f>
        <v>na</v>
      </c>
      <c r="AF167" s="144" t="str">
        <f>IF(ISNUMBER(AF156),AF156*$C167/In_Out!AA$23,AF156)</f>
        <v>na</v>
      </c>
      <c r="AG167" s="144" t="str">
        <f>IF(ISNUMBER(AG156),AG156*$C167/In_Out!AB$23,AG156)</f>
        <v>na</v>
      </c>
      <c r="AH167" s="144" t="str">
        <f>IF(ISNUMBER(AH156),AH156*$C167/In_Out!AC$23,AH156)</f>
        <v>na</v>
      </c>
      <c r="AI167" s="144" t="str">
        <f>IF(ISNUMBER(AI156),AI156*$C167/In_Out!AD$23,AI156)</f>
        <v>na</v>
      </c>
      <c r="AJ167" s="144" t="str">
        <f>IF(ISNUMBER(AJ156),AJ156*$C167/In_Out!AE$23,AJ156)</f>
        <v>na</v>
      </c>
      <c r="AK167" s="144" t="str">
        <f>IF(ISNUMBER(AK156),AK156*$C167/In_Out!AF$23,AK156)</f>
        <v>na</v>
      </c>
      <c r="AL167" s="3"/>
    </row>
    <row r="168" spans="1:38" hidden="1" outlineLevel="2" x14ac:dyDescent="0.25">
      <c r="A168" s="41"/>
      <c r="B168" s="41"/>
      <c r="C168" s="43" t="e">
        <f t="shared" ref="C168" si="110">C167</f>
        <v>#VALUE!</v>
      </c>
      <c r="D168" s="44"/>
      <c r="E168" s="44" t="str">
        <f t="shared" ref="E168" si="111">E167</f>
        <v>na</v>
      </c>
      <c r="F168" s="3" t="str">
        <f t="shared" si="102"/>
        <v>na</v>
      </c>
      <c r="G168" s="145" t="str">
        <f>IF(ISNUMBER(G157),G157*$C168/In_Out!B$23,G157)</f>
        <v>na</v>
      </c>
      <c r="H168" s="145" t="str">
        <f>IF(ISNUMBER(H157),H157*$C168/In_Out!C$23,H157)</f>
        <v>na</v>
      </c>
      <c r="I168" s="145" t="str">
        <f>IF(ISNUMBER(I157),I157*$C168/In_Out!D$23,I157)</f>
        <v>na</v>
      </c>
      <c r="J168" s="145" t="str">
        <f>IF(ISNUMBER(J157),J157*$C168/In_Out!E$23,J157)</f>
        <v>na</v>
      </c>
      <c r="K168" s="145" t="str">
        <f>IF(ISNUMBER(K157),K157*$C168/In_Out!F$23,K157)</f>
        <v>na</v>
      </c>
      <c r="L168" s="145" t="str">
        <f>IF(ISNUMBER(L157),L157*$C168/In_Out!G$23,L157)</f>
        <v>na</v>
      </c>
      <c r="M168" s="145" t="str">
        <f>IF(ISNUMBER(M157),M157*$C168/In_Out!H$23,M157)</f>
        <v>na</v>
      </c>
      <c r="N168" s="145" t="str">
        <f>IF(ISNUMBER(N157),N157*$C168/In_Out!I$23,N157)</f>
        <v>na</v>
      </c>
      <c r="O168" s="145" t="str">
        <f>IF(ISNUMBER(O157),O157*$C168/In_Out!J$23,O157)</f>
        <v>na</v>
      </c>
      <c r="P168" s="145" t="str">
        <f>IF(ISNUMBER(P157),P157*$C168/In_Out!K$23,P157)</f>
        <v>na</v>
      </c>
      <c r="Q168" s="145" t="str">
        <f>IF(ISNUMBER(Q157),Q157*$C168/In_Out!L$23,Q157)</f>
        <v>na</v>
      </c>
      <c r="R168" s="145" t="str">
        <f>IF(ISNUMBER(R157),R157*$C168/In_Out!M$23,R157)</f>
        <v>na</v>
      </c>
      <c r="S168" s="145" t="str">
        <f>IF(ISNUMBER(S157),S157*$C168/In_Out!N$23,S157)</f>
        <v>na</v>
      </c>
      <c r="T168" s="145" t="str">
        <f>IF(ISNUMBER(T157),T157*$C168/In_Out!O$23,T157)</f>
        <v>na</v>
      </c>
      <c r="U168" s="145" t="str">
        <f>IF(ISNUMBER(U157),U157*$C168/In_Out!P$23,U157)</f>
        <v>na</v>
      </c>
      <c r="V168" s="145" t="str">
        <f>IF(ISNUMBER(V157),V157*$C168/In_Out!Q$23,V157)</f>
        <v>na</v>
      </c>
      <c r="W168" s="145" t="str">
        <f>IF(ISNUMBER(W157),W157*$C168/In_Out!R$23,W157)</f>
        <v>na</v>
      </c>
      <c r="X168" s="145" t="str">
        <f>IF(ISNUMBER(X157),X157*$C168/In_Out!S$23,X157)</f>
        <v>na</v>
      </c>
      <c r="Y168" s="145" t="str">
        <f>IF(ISNUMBER(Y157),Y157*$C168/In_Out!T$23,Y157)</f>
        <v>na</v>
      </c>
      <c r="Z168" s="145" t="str">
        <f>IF(ISNUMBER(Z157),Z157*$C168/In_Out!U$23,Z157)</f>
        <v>na</v>
      </c>
      <c r="AA168" s="145" t="str">
        <f>IF(ISNUMBER(AA157),AA157*$C168/In_Out!V$23,AA157)</f>
        <v>na</v>
      </c>
      <c r="AB168" s="145" t="str">
        <f>IF(ISNUMBER(AB157),AB157*$C168/In_Out!W$23,AB157)</f>
        <v>na</v>
      </c>
      <c r="AC168" s="145" t="str">
        <f>IF(ISNUMBER(AC157),AC157*$C168/In_Out!X$23,AC157)</f>
        <v>na</v>
      </c>
      <c r="AD168" s="145" t="str">
        <f>IF(ISNUMBER(AD157),AD157*$C168/In_Out!Y$23,AD157)</f>
        <v>na</v>
      </c>
      <c r="AE168" s="145" t="str">
        <f>IF(ISNUMBER(AE157),AE157*$C168/In_Out!Z$23,AE157)</f>
        <v>na</v>
      </c>
      <c r="AF168" s="145" t="str">
        <f>IF(ISNUMBER(AF157),AF157*$C168/In_Out!AA$23,AF157)</f>
        <v>na</v>
      </c>
      <c r="AG168" s="145" t="str">
        <f>IF(ISNUMBER(AG157),AG157*$C168/In_Out!AB$23,AG157)</f>
        <v>na</v>
      </c>
      <c r="AH168" s="145" t="str">
        <f>IF(ISNUMBER(AH157),AH157*$C168/In_Out!AC$23,AH157)</f>
        <v>na</v>
      </c>
      <c r="AI168" s="145" t="str">
        <f>IF(ISNUMBER(AI157),AI157*$C168/In_Out!AD$23,AI157)</f>
        <v>na</v>
      </c>
      <c r="AJ168" s="145" t="str">
        <f>IF(ISNUMBER(AJ157),AJ157*$C168/In_Out!AE$23,AJ157)</f>
        <v>na</v>
      </c>
      <c r="AK168" s="145" t="str">
        <f>IF(ISNUMBER(AK157),AK157*$C168/In_Out!AF$23,AK157)</f>
        <v>na</v>
      </c>
      <c r="AL168" s="3"/>
    </row>
    <row r="169" spans="1:38" hidden="1" outlineLevel="1" collapsed="1" x14ac:dyDescent="0.25">
      <c r="A169" s="3"/>
      <c r="B169" s="3"/>
      <c r="C169" s="3"/>
      <c r="D169" s="3"/>
      <c r="E169" s="3"/>
      <c r="F169" s="3"/>
      <c r="G169" s="5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8" collapsed="1" x14ac:dyDescent="0.25">
      <c r="A170" s="3"/>
      <c r="B170" s="3"/>
      <c r="C170" s="3"/>
      <c r="D170" s="3" t="s">
        <v>295</v>
      </c>
      <c r="E170" s="217" t="str" cm="1">
        <f t="array" ref="E170">IFERROR(INDEX(Year_Ar, MATCH(TRUE, Emissions_Diff_Ar&lt;&gt;0, 0)),"")</f>
        <v/>
      </c>
      <c r="F170" s="53"/>
      <c r="G170" s="53" t="str">
        <f>IF(OR(YEAR(Commission_date)&lt;=E170,""=E170), "OK", "Inconsistent with stated commissioning date")</f>
        <v>OK</v>
      </c>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8" x14ac:dyDescent="0.25">
      <c r="A171" s="3"/>
      <c r="B171" s="3"/>
      <c r="C171" s="3"/>
      <c r="D171" s="3"/>
      <c r="E171" s="3"/>
      <c r="F171" s="5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8"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8"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8"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8"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8"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x14ac:dyDescent="0.25"/>
    <row r="247" spans="1:37" x14ac:dyDescent="0.25"/>
  </sheetData>
  <sheetProtection algorithmName="SHA-512" hashValue="0cIF0/2xJxMv4GtPafM8RrQBfIknXkFIGkYJLsogfYUKxYdv6Hr6WT2eWY9YzczLr8EGEy7MXgzYYBpSwysLnw==" saltValue="0wEBdH1wsiwM3Mu/vZc9pw==" spinCount="100000" sheet="1" formatRows="0"/>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ECCB95E-7A50-4923-A728-08F6B9D40B94}">
          <x14:formula1>
            <xm:f>Data!$B$21:$B$25</xm:f>
          </x14:formula1>
          <xm:sqref>C99:C102 C106:C109</xm:sqref>
        </x14:dataValidation>
        <x14:dataValidation type="list" allowBlank="1" showInputMessage="1" showErrorMessage="1" xr:uid="{94538D7A-0335-412D-88EF-2D2D1BF735D3}">
          <x14:formula1>
            <xm:f>Data!$B$5:$B$18</xm:f>
          </x14:formula1>
          <xm:sqref>D99:D102 D106:D109</xm:sqref>
        </x14:dataValidation>
        <x14:dataValidation type="list" allowBlank="1" showInputMessage="1" showErrorMessage="1" xr:uid="{4B8FFE82-69B6-4F71-9589-CBA591CA80E0}">
          <x14:formula1>
            <xm:f>Data!$B$28:$B$45</xm:f>
          </x14:formula1>
          <xm:sqref>D54:D59 D63:D68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848D-EA2D-41F6-A9BB-87A0B405480C}">
  <sheetPr codeName="Sheet4"/>
  <dimension ref="A1:A242"/>
  <sheetViews>
    <sheetView zoomScaleNormal="100" workbookViewId="0">
      <selection activeCell="B36" sqref="B36"/>
    </sheetView>
  </sheetViews>
  <sheetFormatPr defaultRowHeight="15" zeroHeight="1" x14ac:dyDescent="0.25"/>
  <sheetData>
    <row r="1" spans="1:1" x14ac:dyDescent="0.25">
      <c r="A1" s="27" t="s">
        <v>133</v>
      </c>
    </row>
    <row r="2" spans="1:1" x14ac:dyDescent="0.25"/>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4A5E-19FA-486C-8300-2E34E2690B9A}">
  <sheetPr codeName="Sheet5"/>
  <dimension ref="A1:BC265"/>
  <sheetViews>
    <sheetView topLeftCell="A83" zoomScale="85" zoomScaleNormal="85" workbookViewId="0">
      <selection activeCell="C105" sqref="C105"/>
    </sheetView>
  </sheetViews>
  <sheetFormatPr defaultRowHeight="15" x14ac:dyDescent="0.25"/>
  <cols>
    <col min="1" max="1" width="5.7109375" customWidth="1"/>
    <col min="2" max="2" width="75" customWidth="1"/>
    <col min="3" max="3" width="57.5703125" customWidth="1"/>
    <col min="4" max="4" width="34" customWidth="1"/>
    <col min="5" max="5" width="36.140625" customWidth="1"/>
    <col min="6" max="6" width="31.28515625" bestFit="1" customWidth="1"/>
    <col min="7" max="7" width="11.85546875" bestFit="1" customWidth="1"/>
    <col min="10" max="10" width="20" bestFit="1" customWidth="1"/>
    <col min="11" max="11" width="57.5703125" bestFit="1" customWidth="1"/>
    <col min="12" max="12" width="10.7109375" bestFit="1" customWidth="1"/>
    <col min="13" max="13" width="10.5703125" bestFit="1" customWidth="1"/>
  </cols>
  <sheetData>
    <row r="1" spans="2:6" x14ac:dyDescent="0.25">
      <c r="B1" s="1" t="s">
        <v>134</v>
      </c>
    </row>
    <row r="3" spans="2:6" x14ac:dyDescent="0.25">
      <c r="C3" t="s">
        <v>135</v>
      </c>
    </row>
    <row r="4" spans="2:6" ht="15.75" thickBot="1" x14ac:dyDescent="0.3">
      <c r="B4" s="2" t="s">
        <v>99</v>
      </c>
      <c r="C4">
        <v>1</v>
      </c>
      <c r="D4">
        <v>2</v>
      </c>
      <c r="E4">
        <v>3</v>
      </c>
    </row>
    <row r="5" spans="2:6" x14ac:dyDescent="0.25">
      <c r="B5" s="130" t="s">
        <v>38</v>
      </c>
      <c r="C5" t="s">
        <v>50</v>
      </c>
      <c r="F5" s="133" t="s">
        <v>136</v>
      </c>
    </row>
    <row r="6" spans="2:6" x14ac:dyDescent="0.25">
      <c r="B6" s="124" t="s">
        <v>39</v>
      </c>
      <c r="C6" t="s">
        <v>50</v>
      </c>
      <c r="F6" s="134" t="s">
        <v>136</v>
      </c>
    </row>
    <row r="7" spans="2:6" x14ac:dyDescent="0.25">
      <c r="B7" s="124" t="s">
        <v>40</v>
      </c>
      <c r="C7" t="s">
        <v>50</v>
      </c>
      <c r="F7" s="134" t="s">
        <v>136</v>
      </c>
    </row>
    <row r="8" spans="2:6" x14ac:dyDescent="0.25">
      <c r="B8" s="124" t="s">
        <v>41</v>
      </c>
      <c r="F8" s="134" t="s">
        <v>136</v>
      </c>
    </row>
    <row r="9" spans="2:6" x14ac:dyDescent="0.25">
      <c r="B9" s="124" t="s">
        <v>42</v>
      </c>
      <c r="F9" s="134" t="s">
        <v>136</v>
      </c>
    </row>
    <row r="10" spans="2:6" x14ac:dyDescent="0.25">
      <c r="B10" s="124" t="s">
        <v>43</v>
      </c>
      <c r="F10" s="134" t="s">
        <v>136</v>
      </c>
    </row>
    <row r="11" spans="2:6" x14ac:dyDescent="0.25">
      <c r="B11" s="124" t="s">
        <v>44</v>
      </c>
      <c r="F11" s="134" t="s">
        <v>136</v>
      </c>
    </row>
    <row r="12" spans="2:6" x14ac:dyDescent="0.25">
      <c r="B12" s="124" t="s">
        <v>45</v>
      </c>
      <c r="C12" t="s">
        <v>50</v>
      </c>
      <c r="D12" t="s">
        <v>49</v>
      </c>
      <c r="F12" s="134" t="s">
        <v>136</v>
      </c>
    </row>
    <row r="13" spans="2:6" x14ac:dyDescent="0.25">
      <c r="B13" s="124" t="s">
        <v>46</v>
      </c>
      <c r="C13" t="s">
        <v>50</v>
      </c>
      <c r="D13" t="s">
        <v>49</v>
      </c>
      <c r="F13" s="134" t="s">
        <v>136</v>
      </c>
    </row>
    <row r="14" spans="2:6" x14ac:dyDescent="0.25">
      <c r="B14" s="124" t="s">
        <v>35</v>
      </c>
      <c r="C14" t="s">
        <v>50</v>
      </c>
      <c r="F14" s="134" t="s">
        <v>136</v>
      </c>
    </row>
    <row r="15" spans="2:6" x14ac:dyDescent="0.25">
      <c r="B15" s="124" t="s">
        <v>36</v>
      </c>
      <c r="C15" t="s">
        <v>50</v>
      </c>
      <c r="F15" s="134" t="s">
        <v>136</v>
      </c>
    </row>
    <row r="16" spans="2:6" x14ac:dyDescent="0.25">
      <c r="B16" s="124" t="s">
        <v>37</v>
      </c>
      <c r="C16" t="s">
        <v>50</v>
      </c>
      <c r="F16" s="134" t="s">
        <v>136</v>
      </c>
    </row>
    <row r="17" spans="2:6" x14ac:dyDescent="0.25">
      <c r="B17" s="124" t="s">
        <v>34</v>
      </c>
      <c r="C17" t="s">
        <v>51</v>
      </c>
      <c r="D17" t="s">
        <v>49</v>
      </c>
      <c r="E17" t="s">
        <v>50</v>
      </c>
      <c r="F17" s="134" t="s">
        <v>136</v>
      </c>
    </row>
    <row r="18" spans="2:6" ht="15.75" thickBot="1" x14ac:dyDescent="0.3">
      <c r="B18" s="131" t="s">
        <v>94</v>
      </c>
      <c r="F18" s="135" t="s">
        <v>136</v>
      </c>
    </row>
    <row r="20" spans="2:6" x14ac:dyDescent="0.25">
      <c r="B20" s="2" t="s">
        <v>137</v>
      </c>
    </row>
    <row r="21" spans="2:6" x14ac:dyDescent="0.25">
      <c r="B21" s="4" t="s">
        <v>48</v>
      </c>
    </row>
    <row r="22" spans="2:6" x14ac:dyDescent="0.25">
      <c r="B22" s="4" t="s">
        <v>51</v>
      </c>
    </row>
    <row r="23" spans="2:6" x14ac:dyDescent="0.25">
      <c r="B23" s="4" t="s">
        <v>50</v>
      </c>
    </row>
    <row r="24" spans="2:6" x14ac:dyDescent="0.25">
      <c r="B24" s="4" t="s">
        <v>49</v>
      </c>
    </row>
    <row r="25" spans="2:6" x14ac:dyDescent="0.25">
      <c r="B25" s="4" t="s">
        <v>94</v>
      </c>
    </row>
    <row r="27" spans="2:6" ht="15.75" thickBot="1" x14ac:dyDescent="0.3">
      <c r="B27" s="2" t="s">
        <v>138</v>
      </c>
      <c r="C27" s="2" t="s">
        <v>139</v>
      </c>
    </row>
    <row r="28" spans="2:6" x14ac:dyDescent="0.25">
      <c r="B28" s="130" t="s">
        <v>38</v>
      </c>
      <c r="C28" t="str">
        <f>B28</f>
        <v>Coal - bituminous</v>
      </c>
    </row>
    <row r="29" spans="2:6" x14ac:dyDescent="0.25">
      <c r="B29" s="124" t="s">
        <v>39</v>
      </c>
      <c r="C29" t="str">
        <f t="shared" ref="C29:C34" si="0">B29</f>
        <v>Coal - sub bituminous</v>
      </c>
    </row>
    <row r="30" spans="2:6" x14ac:dyDescent="0.25">
      <c r="B30" s="124" t="s">
        <v>40</v>
      </c>
      <c r="C30" t="str">
        <f t="shared" si="0"/>
        <v>Coal - lignite</v>
      </c>
    </row>
    <row r="31" spans="2:6" x14ac:dyDescent="0.25">
      <c r="B31" s="124" t="s">
        <v>41</v>
      </c>
      <c r="C31" t="str">
        <f t="shared" si="0"/>
        <v>Diesel</v>
      </c>
    </row>
    <row r="32" spans="2:6" x14ac:dyDescent="0.25">
      <c r="B32" s="124" t="s">
        <v>42</v>
      </c>
      <c r="C32" t="str">
        <f t="shared" si="0"/>
        <v>LPG</v>
      </c>
    </row>
    <row r="33" spans="2:3" x14ac:dyDescent="0.25">
      <c r="B33" s="124" t="s">
        <v>43</v>
      </c>
      <c r="C33" t="str">
        <f t="shared" si="0"/>
        <v>Light fuel oil</v>
      </c>
    </row>
    <row r="34" spans="2:3" x14ac:dyDescent="0.25">
      <c r="B34" s="124" t="s">
        <v>44</v>
      </c>
      <c r="C34" t="str">
        <f t="shared" si="0"/>
        <v>Heavy fuel oil</v>
      </c>
    </row>
    <row r="35" spans="2:3" x14ac:dyDescent="0.25">
      <c r="B35" s="124" t="s">
        <v>140</v>
      </c>
      <c r="C35" s="5" t="str">
        <f>$B$12</f>
        <v>Natural Gas</v>
      </c>
    </row>
    <row r="36" spans="2:3" x14ac:dyDescent="0.25">
      <c r="B36" s="124" t="s">
        <v>141</v>
      </c>
      <c r="C36" s="5" t="str">
        <f t="shared" ref="C36:C37" si="1">$B$12</f>
        <v>Natural Gas</v>
      </c>
    </row>
    <row r="37" spans="2:3" x14ac:dyDescent="0.25">
      <c r="B37" s="124" t="s">
        <v>142</v>
      </c>
      <c r="C37" s="5" t="str">
        <f t="shared" si="1"/>
        <v>Natural Gas</v>
      </c>
    </row>
    <row r="38" spans="2:3" x14ac:dyDescent="0.25">
      <c r="B38" s="124" t="s">
        <v>46</v>
      </c>
      <c r="C38" t="str">
        <f>B38</f>
        <v>Geothermal</v>
      </c>
    </row>
    <row r="39" spans="2:3" x14ac:dyDescent="0.25">
      <c r="B39" s="124" t="s">
        <v>35</v>
      </c>
      <c r="C39" t="str">
        <f t="shared" ref="C39:C41" si="2">B39</f>
        <v>Wood - pellet</v>
      </c>
    </row>
    <row r="40" spans="2:3" x14ac:dyDescent="0.25">
      <c r="B40" s="124" t="s">
        <v>36</v>
      </c>
      <c r="C40" t="str">
        <f t="shared" si="2"/>
        <v>Wood - hog</v>
      </c>
    </row>
    <row r="41" spans="2:3" x14ac:dyDescent="0.25">
      <c r="B41" s="124" t="s">
        <v>37</v>
      </c>
      <c r="C41" t="str">
        <f t="shared" si="2"/>
        <v>Wood - chips</v>
      </c>
    </row>
    <row r="42" spans="2:3" x14ac:dyDescent="0.25">
      <c r="B42" s="124" t="s">
        <v>143</v>
      </c>
      <c r="C42" s="5" t="str">
        <f>$B$17</f>
        <v>Electricity</v>
      </c>
    </row>
    <row r="43" spans="2:3" x14ac:dyDescent="0.25">
      <c r="B43" s="124" t="s">
        <v>144</v>
      </c>
      <c r="C43" s="5" t="str">
        <f t="shared" ref="C43:C44" si="3">$B$17</f>
        <v>Electricity</v>
      </c>
    </row>
    <row r="44" spans="2:3" x14ac:dyDescent="0.25">
      <c r="B44" s="124" t="s">
        <v>145</v>
      </c>
      <c r="C44" s="5" t="str">
        <f t="shared" si="3"/>
        <v>Electricity</v>
      </c>
    </row>
    <row r="45" spans="2:3" ht="15.75" thickBot="1" x14ac:dyDescent="0.3">
      <c r="B45" s="131" t="s">
        <v>94</v>
      </c>
      <c r="C45" t="s">
        <v>94</v>
      </c>
    </row>
    <row r="47" spans="2:3" x14ac:dyDescent="0.25">
      <c r="B47" s="2" t="s">
        <v>146</v>
      </c>
    </row>
    <row r="48" spans="2:3" x14ac:dyDescent="0.25">
      <c r="B48" s="4" t="s">
        <v>147</v>
      </c>
    </row>
    <row r="49" spans="2:2" x14ac:dyDescent="0.25">
      <c r="B49" s="4" t="s">
        <v>118</v>
      </c>
    </row>
    <row r="50" spans="2:2" x14ac:dyDescent="0.25">
      <c r="B50" s="4" t="s">
        <v>94</v>
      </c>
    </row>
    <row r="52" spans="2:2" ht="15.75" thickBot="1" x14ac:dyDescent="0.3">
      <c r="B52" s="143" t="s">
        <v>148</v>
      </c>
    </row>
    <row r="53" spans="2:2" x14ac:dyDescent="0.25">
      <c r="B53" s="130" t="s">
        <v>149</v>
      </c>
    </row>
    <row r="54" spans="2:2" x14ac:dyDescent="0.25">
      <c r="B54" s="124" t="s">
        <v>150</v>
      </c>
    </row>
    <row r="55" spans="2:2" x14ac:dyDescent="0.25">
      <c r="B55" s="124" t="s">
        <v>151</v>
      </c>
    </row>
    <row r="56" spans="2:2" x14ac:dyDescent="0.25">
      <c r="B56" s="124" t="s">
        <v>152</v>
      </c>
    </row>
    <row r="57" spans="2:2" x14ac:dyDescent="0.25">
      <c r="B57" s="124" t="s">
        <v>153</v>
      </c>
    </row>
    <row r="58" spans="2:2" x14ac:dyDescent="0.25">
      <c r="B58" s="124" t="s">
        <v>154</v>
      </c>
    </row>
    <row r="59" spans="2:2" x14ac:dyDescent="0.25">
      <c r="B59" s="124" t="s">
        <v>155</v>
      </c>
    </row>
    <row r="60" spans="2:2" x14ac:dyDescent="0.25">
      <c r="B60" s="124" t="s">
        <v>156</v>
      </c>
    </row>
    <row r="61" spans="2:2" x14ac:dyDescent="0.25">
      <c r="B61" s="124" t="s">
        <v>157</v>
      </c>
    </row>
    <row r="62" spans="2:2" x14ac:dyDescent="0.25">
      <c r="B62" s="124" t="s">
        <v>158</v>
      </c>
    </row>
    <row r="63" spans="2:2" x14ac:dyDescent="0.25">
      <c r="B63" s="124" t="s">
        <v>159</v>
      </c>
    </row>
    <row r="64" spans="2:2" x14ac:dyDescent="0.25">
      <c r="B64" s="124" t="s">
        <v>160</v>
      </c>
    </row>
    <row r="65" spans="2:2" x14ac:dyDescent="0.25">
      <c r="B65" s="124" t="s">
        <v>161</v>
      </c>
    </row>
    <row r="66" spans="2:2" x14ac:dyDescent="0.25">
      <c r="B66" s="124" t="s">
        <v>162</v>
      </c>
    </row>
    <row r="67" spans="2:2" x14ac:dyDescent="0.25">
      <c r="B67" s="124" t="s">
        <v>163</v>
      </c>
    </row>
    <row r="68" spans="2:2" x14ac:dyDescent="0.25">
      <c r="B68" s="124" t="s">
        <v>164</v>
      </c>
    </row>
    <row r="69" spans="2:2" ht="15.75" thickBot="1" x14ac:dyDescent="0.3">
      <c r="B69" s="131" t="s">
        <v>94</v>
      </c>
    </row>
    <row r="71" spans="2:2" ht="15.75" thickBot="1" x14ac:dyDescent="0.3">
      <c r="B71" s="1" t="s">
        <v>165</v>
      </c>
    </row>
    <row r="72" spans="2:2" x14ac:dyDescent="0.25">
      <c r="B72" s="130" t="s">
        <v>166</v>
      </c>
    </row>
    <row r="73" spans="2:2" x14ac:dyDescent="0.25">
      <c r="B73" s="124" t="s">
        <v>167</v>
      </c>
    </row>
    <row r="74" spans="2:2" x14ac:dyDescent="0.25">
      <c r="B74" s="124" t="s">
        <v>168</v>
      </c>
    </row>
    <row r="75" spans="2:2" x14ac:dyDescent="0.25">
      <c r="B75" s="124" t="s">
        <v>169</v>
      </c>
    </row>
    <row r="76" spans="2:2" x14ac:dyDescent="0.25">
      <c r="B76" s="124" t="s">
        <v>170</v>
      </c>
    </row>
    <row r="77" spans="2:2" x14ac:dyDescent="0.25">
      <c r="B77" s="124" t="s">
        <v>171</v>
      </c>
    </row>
    <row r="78" spans="2:2" x14ac:dyDescent="0.25">
      <c r="B78" s="124" t="s">
        <v>172</v>
      </c>
    </row>
    <row r="79" spans="2:2" x14ac:dyDescent="0.25">
      <c r="B79" s="124" t="s">
        <v>173</v>
      </c>
    </row>
    <row r="80" spans="2:2" x14ac:dyDescent="0.25">
      <c r="B80" s="124" t="s">
        <v>174</v>
      </c>
    </row>
    <row r="81" spans="2:3" x14ac:dyDescent="0.25">
      <c r="B81" s="124" t="s">
        <v>175</v>
      </c>
    </row>
    <row r="82" spans="2:3" x14ac:dyDescent="0.25">
      <c r="B82" s="124" t="s">
        <v>176</v>
      </c>
    </row>
    <row r="83" spans="2:3" x14ac:dyDescent="0.25">
      <c r="B83" s="124" t="s">
        <v>177</v>
      </c>
    </row>
    <row r="84" spans="2:3" x14ac:dyDescent="0.25">
      <c r="B84" s="124" t="s">
        <v>178</v>
      </c>
    </row>
    <row r="85" spans="2:3" ht="15.75" thickBot="1" x14ac:dyDescent="0.3">
      <c r="B85" s="131" t="s">
        <v>94</v>
      </c>
    </row>
    <row r="87" spans="2:3" ht="15.75" thickBot="1" x14ac:dyDescent="0.3">
      <c r="B87" s="48" t="s">
        <v>179</v>
      </c>
      <c r="C87" s="25"/>
    </row>
    <row r="88" spans="2:3" x14ac:dyDescent="0.25">
      <c r="B88" s="201" t="s">
        <v>180</v>
      </c>
      <c r="C88" s="202">
        <v>3.6</v>
      </c>
    </row>
    <row r="89" spans="2:3" x14ac:dyDescent="0.25">
      <c r="B89" s="221" t="s">
        <v>301</v>
      </c>
      <c r="C89" s="222" t="str">
        <f>IF(Thresh_IRR,Thresh_IRR,IF(Thresh_Payback,1/Thresh_Payback,"0"))</f>
        <v>0</v>
      </c>
    </row>
    <row r="90" spans="2:3" x14ac:dyDescent="0.25">
      <c r="B90" s="177" t="s">
        <v>269</v>
      </c>
      <c r="C90" s="188">
        <v>0.05</v>
      </c>
    </row>
    <row r="91" spans="2:3" x14ac:dyDescent="0.25">
      <c r="B91" s="177" t="s">
        <v>270</v>
      </c>
      <c r="C91" s="188">
        <v>0.02</v>
      </c>
    </row>
    <row r="92" spans="2:3" x14ac:dyDescent="0.25">
      <c r="B92" s="177" t="s">
        <v>272</v>
      </c>
      <c r="C92" s="188">
        <f>IF(Real_Nom="Real",Raw_Hurdle_Rate,(1+Raw_Hurdle_Rate)/(1+$E$186)-1)</f>
        <v>-1.9607843137254943E-2</v>
      </c>
    </row>
    <row r="93" spans="2:3" x14ac:dyDescent="0.25">
      <c r="B93" s="177" t="s">
        <v>271</v>
      </c>
      <c r="C93" s="188">
        <v>0.12</v>
      </c>
    </row>
    <row r="94" spans="2:3" x14ac:dyDescent="0.25">
      <c r="B94" s="177" t="s">
        <v>302</v>
      </c>
      <c r="C94" s="223" t="b" cm="1">
        <f t="array" ref="C94">IF(MAX(IF(ISNUMBER(SEARCH("Coal", Fuel_Type_BC_Ar)),1,0)), TRUE, FALSE)</f>
        <v>0</v>
      </c>
    </row>
    <row r="95" spans="2:3" x14ac:dyDescent="0.25">
      <c r="B95" s="177" t="s">
        <v>181</v>
      </c>
      <c r="C95" s="198" t="e">
        <f>MIN(
    IF(Heat_Pump_Project, 20+Project_Year_Offset, 25+Project_Year_Offset),
    IF(AND(Project_replaces_coal, NOT(Exempt_From_2037_Coal_Phaseout)), 2036 - Start_Yr + 1, 25+Project_Year_Offset)
)</f>
        <v>#N/A</v>
      </c>
    </row>
    <row r="96" spans="2:3" x14ac:dyDescent="0.25">
      <c r="B96" s="177" t="s">
        <v>182</v>
      </c>
      <c r="C96" s="199" t="e">
        <f>MIN(Max_life,Life_input+Project_Year_Offset)</f>
        <v>#N/A</v>
      </c>
    </row>
    <row r="97" spans="2:3" x14ac:dyDescent="0.25">
      <c r="B97" s="177" t="s">
        <v>308</v>
      </c>
      <c r="C97" s="225">
        <f>2025-Start_Yr+1</f>
        <v>2026</v>
      </c>
    </row>
    <row r="98" spans="2:3" x14ac:dyDescent="0.25">
      <c r="B98" s="177" t="s">
        <v>307</v>
      </c>
      <c r="C98" s="225">
        <f>2030-Start_Yr+1</f>
        <v>2031</v>
      </c>
    </row>
    <row r="99" spans="2:3" x14ac:dyDescent="0.25">
      <c r="B99" s="177" t="s">
        <v>309</v>
      </c>
      <c r="C99" s="225">
        <f>2035-Start_Yr+1</f>
        <v>2036</v>
      </c>
    </row>
    <row r="100" spans="2:3" x14ac:dyDescent="0.25">
      <c r="B100" s="177" t="s">
        <v>310</v>
      </c>
      <c r="C100" s="225">
        <f>2040-Start_Yr+1</f>
        <v>2041</v>
      </c>
    </row>
    <row r="101" spans="2:3" x14ac:dyDescent="0.25">
      <c r="B101" s="177" t="s">
        <v>311</v>
      </c>
      <c r="C101" s="225">
        <f>2045-Start_Yr+1</f>
        <v>2046</v>
      </c>
    </row>
    <row r="102" spans="2:3" ht="15.75" thickBot="1" x14ac:dyDescent="0.3">
      <c r="B102" s="179" t="s">
        <v>312</v>
      </c>
      <c r="C102" s="200">
        <f>2050-Start_Yr+1</f>
        <v>2051</v>
      </c>
    </row>
    <row r="103" spans="2:3" ht="15.75" thickBot="1" x14ac:dyDescent="0.3"/>
    <row r="104" spans="2:3" x14ac:dyDescent="0.25">
      <c r="B104" s="174" t="s">
        <v>297</v>
      </c>
      <c r="C104" s="219" t="s">
        <v>354</v>
      </c>
    </row>
    <row r="105" spans="2:3" ht="15.75" thickBot="1" x14ac:dyDescent="0.3">
      <c r="B105" s="179" t="s">
        <v>296</v>
      </c>
      <c r="C105" s="220">
        <v>45189</v>
      </c>
    </row>
    <row r="106" spans="2:3" x14ac:dyDescent="0.25">
      <c r="C106" s="162"/>
    </row>
    <row r="107" spans="2:3" x14ac:dyDescent="0.25">
      <c r="B107" s="2" t="s">
        <v>183</v>
      </c>
    </row>
    <row r="108" spans="2:3" x14ac:dyDescent="0.25">
      <c r="B108" s="63" t="s">
        <v>184</v>
      </c>
      <c r="C108" s="63"/>
    </row>
    <row r="109" spans="2:3" x14ac:dyDescent="0.25">
      <c r="B109" s="63" t="s">
        <v>185</v>
      </c>
      <c r="C109" s="63"/>
    </row>
    <row r="110" spans="2:3" x14ac:dyDescent="0.25">
      <c r="B110" s="63" t="s">
        <v>186</v>
      </c>
      <c r="C110" s="63"/>
    </row>
    <row r="112" spans="2:3" x14ac:dyDescent="0.25">
      <c r="B112" t="s">
        <v>187</v>
      </c>
      <c r="C112" s="64">
        <v>0.05</v>
      </c>
    </row>
    <row r="114" spans="2:34" x14ac:dyDescent="0.25">
      <c r="B114" s="1" t="s">
        <v>255</v>
      </c>
    </row>
    <row r="115" spans="2:34" x14ac:dyDescent="0.25">
      <c r="B115" t="s">
        <v>256</v>
      </c>
      <c r="C115">
        <f>YEAR(Commission_date)</f>
        <v>1900</v>
      </c>
      <c r="S115" s="3" t="s">
        <v>80</v>
      </c>
    </row>
    <row r="116" spans="2:34" x14ac:dyDescent="0.25">
      <c r="B116" t="s">
        <v>257</v>
      </c>
      <c r="C116" t="e">
        <f>_xlfn.XMATCH(C115,In_Out!B21:AD21)-1</f>
        <v>#N/A</v>
      </c>
    </row>
    <row r="117" spans="2:34" ht="15.75" thickBot="1" x14ac:dyDescent="0.3"/>
    <row r="118" spans="2:34" x14ac:dyDescent="0.25">
      <c r="B118" s="183" t="s">
        <v>265</v>
      </c>
      <c r="C118" s="176"/>
    </row>
    <row r="119" spans="2:34" x14ac:dyDescent="0.25">
      <c r="B119" s="177" t="s">
        <v>266</v>
      </c>
      <c r="C119" s="184" t="str">
        <f>MAC</f>
        <v>Incomplete data</v>
      </c>
      <c r="D119" s="172" t="str">
        <f>C119</f>
        <v>Incomplete data</v>
      </c>
    </row>
    <row r="120" spans="2:34" x14ac:dyDescent="0.25">
      <c r="B120" s="177" t="s">
        <v>267</v>
      </c>
      <c r="C120" s="184" t="str">
        <f>MAC_GIDI</f>
        <v>Incomplete data</v>
      </c>
      <c r="D120" s="172" t="e">
        <f>-C120</f>
        <v>#VALUE!</v>
      </c>
    </row>
    <row r="121" spans="2:34" x14ac:dyDescent="0.25">
      <c r="B121" s="177" t="s">
        <v>262</v>
      </c>
      <c r="C121" s="185" t="e">
        <f>MAC-MAC_GIDI</f>
        <v>#VALUE!</v>
      </c>
      <c r="D121" t="e">
        <f>-MAC_residual_applicant</f>
        <v>#VALUE!</v>
      </c>
    </row>
    <row r="122" spans="2:34" x14ac:dyDescent="0.25">
      <c r="B122" s="177" t="s">
        <v>70</v>
      </c>
      <c r="C122" s="185" t="str">
        <f>MAC_Shadow_thresh</f>
        <v>Incomplete data</v>
      </c>
      <c r="D122" s="182" t="str">
        <f>C122</f>
        <v>Incomplete data</v>
      </c>
    </row>
    <row r="123" spans="2:34" ht="15.75" thickBot="1" x14ac:dyDescent="0.3">
      <c r="B123" s="179" t="s">
        <v>261</v>
      </c>
      <c r="C123" s="186" t="str">
        <f>IFERROR(-SUMPRODUCT(Real_ETS_prices_in_project_year_TL:INDEX(Real_ETS_prices_in_project_year_Ar,Life),Emissions_Diff_TL:INDEX(Emissions_Diff_Ar,Life),DiscF_TL:INDEX(DiscF_Ar,Life))/Emis_redn_discounted,"Incomplete data")</f>
        <v>Incomplete data</v>
      </c>
      <c r="D123" s="182" t="str">
        <f>C123</f>
        <v>Incomplete data</v>
      </c>
    </row>
    <row r="124" spans="2:34" ht="15.75" thickBot="1" x14ac:dyDescent="0.3"/>
    <row r="125" spans="2:34" x14ac:dyDescent="0.25">
      <c r="B125" s="1" t="s">
        <v>286</v>
      </c>
      <c r="C125" s="133" t="s">
        <v>259</v>
      </c>
      <c r="D125" s="175" t="str" cm="1">
        <f t="array" ref="D125:AH125">Year_Ar</f>
        <v>Enter start year!</v>
      </c>
      <c r="E125" s="175" t="str">
        <v>Enter start year!</v>
      </c>
      <c r="F125" s="175" t="str">
        <v>Enter start year!</v>
      </c>
      <c r="G125" s="175" t="str">
        <v>Enter start year!</v>
      </c>
      <c r="H125" s="175" t="str">
        <v>Enter start year!</v>
      </c>
      <c r="I125" s="175" t="str">
        <v>Enter start year!</v>
      </c>
      <c r="J125" s="175" t="str">
        <v>Enter start year!</v>
      </c>
      <c r="K125" s="175" t="str">
        <v>Enter start year!</v>
      </c>
      <c r="L125" s="175" t="str">
        <v>Enter start year!</v>
      </c>
      <c r="M125" s="175" t="str">
        <v>Enter start year!</v>
      </c>
      <c r="N125" s="175" t="str">
        <v>Enter start year!</v>
      </c>
      <c r="O125" s="175" t="str">
        <v>Enter start year!</v>
      </c>
      <c r="P125" s="175" t="str">
        <v>Enter start year!</v>
      </c>
      <c r="Q125" s="175" t="str">
        <v>Enter start year!</v>
      </c>
      <c r="R125" s="175" t="str">
        <v>Enter start year!</v>
      </c>
      <c r="S125" s="175" t="str">
        <v>Enter start year!</v>
      </c>
      <c r="T125" s="175" t="str">
        <v>Enter start year!</v>
      </c>
      <c r="U125" s="175" t="str">
        <v>Enter start year!</v>
      </c>
      <c r="V125" s="175" t="str">
        <v>Enter start year!</v>
      </c>
      <c r="W125" s="175" t="str">
        <v>Enter start year!</v>
      </c>
      <c r="X125" s="175" t="str">
        <v>Enter start year!</v>
      </c>
      <c r="Y125" s="175" t="str">
        <v>Enter start year!</v>
      </c>
      <c r="Z125" s="175" t="str">
        <v>Enter start year!</v>
      </c>
      <c r="AA125" s="175" t="str">
        <v>Enter start year!</v>
      </c>
      <c r="AB125" s="175" t="str">
        <v>Enter start year!</v>
      </c>
      <c r="AC125" s="175" t="str">
        <v>Enter start year!</v>
      </c>
      <c r="AD125" s="175" t="str">
        <v>Enter start year!</v>
      </c>
      <c r="AE125" s="175" t="str">
        <v>Enter start year!</v>
      </c>
      <c r="AF125" s="175" t="str">
        <v>Enter start year!</v>
      </c>
      <c r="AG125" s="175" t="str">
        <v>Enter start year!</v>
      </c>
      <c r="AH125" s="176" t="str">
        <v>Enter start year!</v>
      </c>
    </row>
    <row r="126" spans="2:34" ht="15.75" thickBot="1" x14ac:dyDescent="0.3">
      <c r="B126" s="1"/>
      <c r="C126" s="134" t="s">
        <v>80</v>
      </c>
      <c r="D126" cm="1">
        <f t="array" ref="D126:AH126">Time_period_Ar</f>
        <v>0</v>
      </c>
      <c r="E126">
        <v>1</v>
      </c>
      <c r="F126">
        <v>2</v>
      </c>
      <c r="G126">
        <v>3</v>
      </c>
      <c r="H126">
        <v>4</v>
      </c>
      <c r="I126">
        <v>5</v>
      </c>
      <c r="J126">
        <v>6</v>
      </c>
      <c r="K126">
        <v>7</v>
      </c>
      <c r="L126">
        <v>8</v>
      </c>
      <c r="M126">
        <v>9</v>
      </c>
      <c r="N126">
        <v>10</v>
      </c>
      <c r="O126">
        <v>11</v>
      </c>
      <c r="P126">
        <v>12</v>
      </c>
      <c r="Q126">
        <v>13</v>
      </c>
      <c r="R126">
        <v>14</v>
      </c>
      <c r="S126">
        <v>15</v>
      </c>
      <c r="T126">
        <v>16</v>
      </c>
      <c r="U126">
        <v>17</v>
      </c>
      <c r="V126">
        <v>18</v>
      </c>
      <c r="W126">
        <v>19</v>
      </c>
      <c r="X126">
        <v>20</v>
      </c>
      <c r="Y126">
        <v>21</v>
      </c>
      <c r="Z126">
        <v>22</v>
      </c>
      <c r="AA126">
        <v>23</v>
      </c>
      <c r="AB126">
        <v>24</v>
      </c>
      <c r="AC126">
        <v>25</v>
      </c>
      <c r="AD126">
        <v>26</v>
      </c>
      <c r="AE126">
        <v>27</v>
      </c>
      <c r="AF126">
        <v>28</v>
      </c>
      <c r="AG126">
        <v>29</v>
      </c>
      <c r="AH126" s="178">
        <v>30</v>
      </c>
    </row>
    <row r="127" spans="2:34" x14ac:dyDescent="0.25">
      <c r="B127" s="1" t="s">
        <v>287</v>
      </c>
      <c r="C127" s="133" t="s">
        <v>275</v>
      </c>
      <c r="D127" s="171">
        <f t="shared" ref="D127:AH127" si="4">1/(1+Disc_rate)^D$126</f>
        <v>1</v>
      </c>
      <c r="E127" s="171">
        <f t="shared" si="4"/>
        <v>0.95238095238095233</v>
      </c>
      <c r="F127" s="171">
        <f t="shared" si="4"/>
        <v>0.90702947845804982</v>
      </c>
      <c r="G127" s="171">
        <f t="shared" si="4"/>
        <v>0.86383759853147601</v>
      </c>
      <c r="H127" s="171">
        <f t="shared" si="4"/>
        <v>0.82270247479188197</v>
      </c>
      <c r="I127" s="171">
        <f t="shared" si="4"/>
        <v>0.78352616646845896</v>
      </c>
      <c r="J127" s="171">
        <f t="shared" si="4"/>
        <v>0.74621539663662761</v>
      </c>
      <c r="K127" s="171">
        <f t="shared" si="4"/>
        <v>0.71068133013012147</v>
      </c>
      <c r="L127" s="171">
        <f t="shared" si="4"/>
        <v>0.67683936202868722</v>
      </c>
      <c r="M127" s="171">
        <f t="shared" si="4"/>
        <v>0.64460891621779726</v>
      </c>
      <c r="N127" s="171">
        <f t="shared" si="4"/>
        <v>0.61391325354075932</v>
      </c>
      <c r="O127" s="171">
        <f t="shared" si="4"/>
        <v>0.5846792890864374</v>
      </c>
      <c r="P127" s="171">
        <f t="shared" si="4"/>
        <v>0.5568374181775595</v>
      </c>
      <c r="Q127" s="171">
        <f t="shared" si="4"/>
        <v>0.53032135064529462</v>
      </c>
      <c r="R127" s="171">
        <f t="shared" si="4"/>
        <v>0.50506795299551888</v>
      </c>
      <c r="S127" s="171">
        <f t="shared" si="4"/>
        <v>0.48101709809097021</v>
      </c>
      <c r="T127" s="171">
        <f t="shared" si="4"/>
        <v>0.45811152199140021</v>
      </c>
      <c r="U127" s="171">
        <f t="shared" si="4"/>
        <v>0.43629668761085727</v>
      </c>
      <c r="V127" s="171">
        <f t="shared" si="4"/>
        <v>0.41552065486748313</v>
      </c>
      <c r="W127" s="171">
        <f t="shared" si="4"/>
        <v>0.39573395701665059</v>
      </c>
      <c r="X127" s="171">
        <f t="shared" si="4"/>
        <v>0.37688948287300061</v>
      </c>
      <c r="Y127" s="171">
        <f t="shared" si="4"/>
        <v>0.35894236464095297</v>
      </c>
      <c r="Z127" s="171">
        <f t="shared" si="4"/>
        <v>0.3418498710866219</v>
      </c>
      <c r="AA127" s="171">
        <f t="shared" si="4"/>
        <v>0.32557130579678267</v>
      </c>
      <c r="AB127" s="171">
        <f t="shared" si="4"/>
        <v>0.31006791028265024</v>
      </c>
      <c r="AC127" s="171">
        <f t="shared" si="4"/>
        <v>0.29530277169776209</v>
      </c>
      <c r="AD127" s="171">
        <f t="shared" si="4"/>
        <v>0.28124073495024959</v>
      </c>
      <c r="AE127" s="171">
        <f t="shared" si="4"/>
        <v>0.2678483190002377</v>
      </c>
      <c r="AF127" s="171">
        <f t="shared" si="4"/>
        <v>0.25509363714308358</v>
      </c>
      <c r="AG127" s="171">
        <f t="shared" si="4"/>
        <v>0.24294632108865097</v>
      </c>
      <c r="AH127" s="206">
        <f t="shared" si="4"/>
        <v>0.23137744865585813</v>
      </c>
    </row>
    <row r="128" spans="2:34" x14ac:dyDescent="0.25">
      <c r="B128" s="1"/>
      <c r="C128" s="134" t="s">
        <v>276</v>
      </c>
      <c r="D128" s="207">
        <f t="shared" ref="D128:AH128" si="5">1/(1+Disc_rate_low_social)^D$126</f>
        <v>1</v>
      </c>
      <c r="E128" s="207">
        <f t="shared" si="5"/>
        <v>0.98039215686274506</v>
      </c>
      <c r="F128" s="207">
        <f t="shared" si="5"/>
        <v>0.96116878123798544</v>
      </c>
      <c r="G128" s="207">
        <f t="shared" si="5"/>
        <v>0.94232233454704462</v>
      </c>
      <c r="H128" s="207">
        <f t="shared" si="5"/>
        <v>0.9238454260265142</v>
      </c>
      <c r="I128" s="207">
        <f t="shared" si="5"/>
        <v>0.90573080982991594</v>
      </c>
      <c r="J128" s="207">
        <f t="shared" si="5"/>
        <v>0.88797138218619198</v>
      </c>
      <c r="K128" s="207">
        <f t="shared" si="5"/>
        <v>0.87056017861391388</v>
      </c>
      <c r="L128" s="207">
        <f t="shared" si="5"/>
        <v>0.85349037119011162</v>
      </c>
      <c r="M128" s="207">
        <f t="shared" si="5"/>
        <v>0.83675526587265847</v>
      </c>
      <c r="N128" s="207">
        <f t="shared" si="5"/>
        <v>0.82034829987515534</v>
      </c>
      <c r="O128" s="207">
        <f t="shared" si="5"/>
        <v>0.80426303909328967</v>
      </c>
      <c r="P128" s="207">
        <f t="shared" si="5"/>
        <v>0.78849317558165644</v>
      </c>
      <c r="Q128" s="207">
        <f t="shared" si="5"/>
        <v>0.77303252508005538</v>
      </c>
      <c r="R128" s="207">
        <f t="shared" si="5"/>
        <v>0.75787502458828948</v>
      </c>
      <c r="S128" s="207">
        <f t="shared" si="5"/>
        <v>0.74301472998851925</v>
      </c>
      <c r="T128" s="207">
        <f t="shared" si="5"/>
        <v>0.72844581371423445</v>
      </c>
      <c r="U128" s="207">
        <f t="shared" si="5"/>
        <v>0.7141625624649357</v>
      </c>
      <c r="V128" s="207">
        <f t="shared" si="5"/>
        <v>0.7001593749656233</v>
      </c>
      <c r="W128" s="207">
        <f t="shared" si="5"/>
        <v>0.68643075977021895</v>
      </c>
      <c r="X128" s="207">
        <f t="shared" si="5"/>
        <v>0.67297133310805779</v>
      </c>
      <c r="Y128" s="207">
        <f t="shared" si="5"/>
        <v>0.65977581677260566</v>
      </c>
      <c r="Z128" s="207">
        <f t="shared" si="5"/>
        <v>0.64683903605157411</v>
      </c>
      <c r="AA128" s="207">
        <f t="shared" si="5"/>
        <v>0.63415591769762181</v>
      </c>
      <c r="AB128" s="207">
        <f t="shared" si="5"/>
        <v>0.62172148793884485</v>
      </c>
      <c r="AC128" s="207">
        <f t="shared" si="5"/>
        <v>0.60953087052827937</v>
      </c>
      <c r="AD128" s="207">
        <f t="shared" si="5"/>
        <v>0.59757928483164635</v>
      </c>
      <c r="AE128" s="207">
        <f t="shared" si="5"/>
        <v>0.58586204395259456</v>
      </c>
      <c r="AF128" s="207">
        <f t="shared" si="5"/>
        <v>0.57437455289470041</v>
      </c>
      <c r="AG128" s="207">
        <f t="shared" si="5"/>
        <v>0.56311230675951029</v>
      </c>
      <c r="AH128" s="208">
        <f t="shared" si="5"/>
        <v>0.55207088897991197</v>
      </c>
    </row>
    <row r="129" spans="2:41" x14ac:dyDescent="0.25">
      <c r="B129" s="1"/>
      <c r="C129" s="134" t="s">
        <v>277</v>
      </c>
      <c r="D129" s="207">
        <f t="shared" ref="D129:AH129" si="6">1/(1+Disc_rate_private_hurdle_rate)^D$126</f>
        <v>1</v>
      </c>
      <c r="E129" s="207">
        <f t="shared" si="6"/>
        <v>1.02</v>
      </c>
      <c r="F129" s="207">
        <f t="shared" si="6"/>
        <v>1.0404</v>
      </c>
      <c r="G129" s="207">
        <f t="shared" si="6"/>
        <v>1.0612080000000002</v>
      </c>
      <c r="H129" s="207">
        <f t="shared" si="6"/>
        <v>1.0824321600000002</v>
      </c>
      <c r="I129" s="207">
        <f t="shared" si="6"/>
        <v>1.1040808032000002</v>
      </c>
      <c r="J129" s="207">
        <f t="shared" si="6"/>
        <v>1.1261624192640003</v>
      </c>
      <c r="K129" s="207">
        <f t="shared" si="6"/>
        <v>1.1486856676492803</v>
      </c>
      <c r="L129" s="207">
        <f t="shared" si="6"/>
        <v>1.171659381002266</v>
      </c>
      <c r="M129" s="207">
        <f t="shared" si="6"/>
        <v>1.1950925686223113</v>
      </c>
      <c r="N129" s="207">
        <f t="shared" si="6"/>
        <v>1.2189944199947575</v>
      </c>
      <c r="O129" s="207">
        <f t="shared" si="6"/>
        <v>1.2433743083946529</v>
      </c>
      <c r="P129" s="207">
        <f t="shared" si="6"/>
        <v>1.2682417945625459</v>
      </c>
      <c r="Q129" s="207">
        <f t="shared" si="6"/>
        <v>1.293606630453797</v>
      </c>
      <c r="R129" s="207">
        <f t="shared" si="6"/>
        <v>1.3194787630628728</v>
      </c>
      <c r="S129" s="207">
        <f t="shared" si="6"/>
        <v>1.3458683383241303</v>
      </c>
      <c r="T129" s="207">
        <f t="shared" si="6"/>
        <v>1.3727857050906132</v>
      </c>
      <c r="U129" s="207">
        <f t="shared" si="6"/>
        <v>1.4002414191924255</v>
      </c>
      <c r="V129" s="207">
        <f t="shared" si="6"/>
        <v>1.4282462475762741</v>
      </c>
      <c r="W129" s="207">
        <f t="shared" si="6"/>
        <v>1.4568111725277995</v>
      </c>
      <c r="X129" s="207">
        <f t="shared" si="6"/>
        <v>1.4859473959783556</v>
      </c>
      <c r="Y129" s="207">
        <f t="shared" si="6"/>
        <v>1.5156663438979228</v>
      </c>
      <c r="Z129" s="207">
        <f t="shared" si="6"/>
        <v>1.5459796707758811</v>
      </c>
      <c r="AA129" s="207">
        <f t="shared" si="6"/>
        <v>1.576899264191399</v>
      </c>
      <c r="AB129" s="207">
        <f t="shared" si="6"/>
        <v>1.6084372494752268</v>
      </c>
      <c r="AC129" s="207">
        <f t="shared" si="6"/>
        <v>1.6406059944647315</v>
      </c>
      <c r="AD129" s="207">
        <f t="shared" si="6"/>
        <v>1.6734181143540261</v>
      </c>
      <c r="AE129" s="207">
        <f t="shared" si="6"/>
        <v>1.7068864766411069</v>
      </c>
      <c r="AF129" s="207">
        <f t="shared" si="6"/>
        <v>1.7410242061739289</v>
      </c>
      <c r="AG129" s="207">
        <f t="shared" si="6"/>
        <v>1.7758446902974081</v>
      </c>
      <c r="AH129" s="208">
        <f t="shared" si="6"/>
        <v>1.8113615841033561</v>
      </c>
    </row>
    <row r="130" spans="2:41" ht="15.75" thickBot="1" x14ac:dyDescent="0.3">
      <c r="B130" s="1"/>
      <c r="C130" s="135" t="s">
        <v>278</v>
      </c>
      <c r="D130" s="209">
        <f t="shared" ref="D130:AH130" si="7">1/(1+Disc_rate_private_WACC)^D$126</f>
        <v>1</v>
      </c>
      <c r="E130" s="209">
        <f t="shared" si="7"/>
        <v>0.89285714285714279</v>
      </c>
      <c r="F130" s="209">
        <f t="shared" si="7"/>
        <v>0.79719387755102034</v>
      </c>
      <c r="G130" s="209">
        <f t="shared" si="7"/>
        <v>0.71178024781341087</v>
      </c>
      <c r="H130" s="209">
        <f t="shared" si="7"/>
        <v>0.63551807840483121</v>
      </c>
      <c r="I130" s="209">
        <f t="shared" si="7"/>
        <v>0.56742685571859919</v>
      </c>
      <c r="J130" s="209">
        <f t="shared" si="7"/>
        <v>0.50663112117732068</v>
      </c>
      <c r="K130" s="209">
        <f t="shared" si="7"/>
        <v>0.45234921533689343</v>
      </c>
      <c r="L130" s="209">
        <f t="shared" si="7"/>
        <v>0.4038832279793691</v>
      </c>
      <c r="M130" s="209">
        <f t="shared" si="7"/>
        <v>0.36061002498157957</v>
      </c>
      <c r="N130" s="209">
        <f t="shared" si="7"/>
        <v>0.32197323659069599</v>
      </c>
      <c r="O130" s="209">
        <f t="shared" si="7"/>
        <v>0.28747610409883567</v>
      </c>
      <c r="P130" s="209">
        <f t="shared" si="7"/>
        <v>0.25667509294538904</v>
      </c>
      <c r="Q130" s="209">
        <f t="shared" si="7"/>
        <v>0.22917419012981158</v>
      </c>
      <c r="R130" s="209">
        <f t="shared" si="7"/>
        <v>0.20461981261590317</v>
      </c>
      <c r="S130" s="209">
        <f t="shared" si="7"/>
        <v>0.18269626126419927</v>
      </c>
      <c r="T130" s="209">
        <f t="shared" si="7"/>
        <v>0.16312166184303503</v>
      </c>
      <c r="U130" s="209">
        <f t="shared" si="7"/>
        <v>0.14564434093128129</v>
      </c>
      <c r="V130" s="209">
        <f t="shared" si="7"/>
        <v>0.13003959011721541</v>
      </c>
      <c r="W130" s="209">
        <f t="shared" si="7"/>
        <v>0.1161067768903709</v>
      </c>
      <c r="X130" s="209">
        <f t="shared" si="7"/>
        <v>0.1036667650806883</v>
      </c>
      <c r="Y130" s="209">
        <f t="shared" si="7"/>
        <v>9.2559611679185971E-2</v>
      </c>
      <c r="Z130" s="209">
        <f t="shared" si="7"/>
        <v>8.2642510427844609E-2</v>
      </c>
      <c r="AA130" s="209">
        <f t="shared" si="7"/>
        <v>7.3787955739146982E-2</v>
      </c>
      <c r="AB130" s="209">
        <f t="shared" si="7"/>
        <v>6.5882103338524081E-2</v>
      </c>
      <c r="AC130" s="209">
        <f t="shared" si="7"/>
        <v>5.8823306552253637E-2</v>
      </c>
      <c r="AD130" s="209">
        <f t="shared" si="7"/>
        <v>5.2520809421655032E-2</v>
      </c>
      <c r="AE130" s="209">
        <f t="shared" si="7"/>
        <v>4.6893579840763415E-2</v>
      </c>
      <c r="AF130" s="209">
        <f t="shared" si="7"/>
        <v>4.1869267714967337E-2</v>
      </c>
      <c r="AG130" s="209">
        <f t="shared" si="7"/>
        <v>3.7383274745506546E-2</v>
      </c>
      <c r="AH130" s="210">
        <f t="shared" si="7"/>
        <v>3.3377923879916553E-2</v>
      </c>
    </row>
    <row r="131" spans="2:41" x14ac:dyDescent="0.25">
      <c r="B131" s="1" t="s">
        <v>288</v>
      </c>
      <c r="C131" s="133" t="s">
        <v>279</v>
      </c>
      <c r="D131" s="175" t="e" cm="1">
        <f t="array" ref="D131">INDEX(Shadow_C_Ar_Low,1+Shadow_off):INDEX(Shadow_C_Ar_Low,31+Shadow_off)*Shadow_Fac</f>
        <v>#VALUE!</v>
      </c>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6"/>
    </row>
    <row r="132" spans="2:41" x14ac:dyDescent="0.25">
      <c r="C132" s="134" t="s">
        <v>280</v>
      </c>
      <c r="D132" t="e" cm="1">
        <f t="array" ref="D132">INDEX(Shadow_C_Ar_High,1+Shadow_off):INDEX(Shadow_C_Ar_High,31+Shadow_off)*Shadow_Fac</f>
        <v>#VALUE!</v>
      </c>
      <c r="AH132" s="178"/>
    </row>
    <row r="133" spans="2:41" x14ac:dyDescent="0.25">
      <c r="C133" s="134" t="s">
        <v>258</v>
      </c>
      <c r="D133" t="e" cm="1">
        <f t="array" ref="D133">INDEX(Shadow_C_Ar,1+Shadow_off):INDEX(Shadow_C_Ar,31+Shadow_off)*Shadow_Fac</f>
        <v>#VALUE!</v>
      </c>
      <c r="AH133" s="178"/>
    </row>
    <row r="134" spans="2:41" x14ac:dyDescent="0.25">
      <c r="C134" s="134" t="s">
        <v>281</v>
      </c>
      <c r="D134" t="e" cm="1">
        <f t="array" ref="D134">INDEX(Shadow_C_Ar_Low,1+Shadow_off):INDEX(Shadow_C_Ar_Low,31+Shadow_off)*Shadow_Fac</f>
        <v>#VALUE!</v>
      </c>
      <c r="AH134" s="178"/>
    </row>
    <row r="135" spans="2:41" ht="15.75" thickBot="1" x14ac:dyDescent="0.3">
      <c r="C135" s="135" t="s">
        <v>289</v>
      </c>
      <c r="D135" s="215" t="e">
        <f>IF(Real_Nom="Nominal",Data!D131*In_Out!B23,Data!D131)</f>
        <v>#VALUE!</v>
      </c>
      <c r="E135" s="215">
        <f>IF(Real_Nom="Nominal",Data!E131*In_Out!C23,Data!E131)</f>
        <v>0</v>
      </c>
      <c r="F135" s="215">
        <f>IF(Real_Nom="Nominal",Data!F131*In_Out!D23,Data!F131)</f>
        <v>0</v>
      </c>
      <c r="G135" s="215">
        <f>IF(Real_Nom="Nominal",Data!G131*In_Out!E23,Data!G131)</f>
        <v>0</v>
      </c>
      <c r="H135" s="215">
        <f>IF(Real_Nom="Nominal",Data!H131*In_Out!F23,Data!H131)</f>
        <v>0</v>
      </c>
      <c r="I135" s="215">
        <f>IF(Real_Nom="Nominal",Data!I131*In_Out!G23,Data!I131)</f>
        <v>0</v>
      </c>
      <c r="J135" s="215">
        <f>IF(Real_Nom="Nominal",Data!J131*In_Out!H23,Data!J131)</f>
        <v>0</v>
      </c>
      <c r="K135" s="215">
        <f>IF(Real_Nom="Nominal",Data!K131*In_Out!I23,Data!K131)</f>
        <v>0</v>
      </c>
      <c r="L135" s="215">
        <f>IF(Real_Nom="Nominal",Data!L131*In_Out!J23,Data!L131)</f>
        <v>0</v>
      </c>
      <c r="M135" s="215">
        <f>IF(Real_Nom="Nominal",Data!M131*In_Out!K23,Data!M131)</f>
        <v>0</v>
      </c>
      <c r="N135" s="215">
        <f>IF(Real_Nom="Nominal",Data!N131*In_Out!L23,Data!N131)</f>
        <v>0</v>
      </c>
      <c r="O135" s="215">
        <f>IF(Real_Nom="Nominal",Data!O131*In_Out!M23,Data!O131)</f>
        <v>0</v>
      </c>
      <c r="P135" s="215">
        <f>IF(Real_Nom="Nominal",Data!P131*In_Out!N23,Data!P131)</f>
        <v>0</v>
      </c>
      <c r="Q135" s="215">
        <f>IF(Real_Nom="Nominal",Data!Q131*In_Out!O23,Data!Q131)</f>
        <v>0</v>
      </c>
      <c r="R135" s="215">
        <f>IF(Real_Nom="Nominal",Data!R131*In_Out!P23,Data!R131)</f>
        <v>0</v>
      </c>
      <c r="S135" s="215">
        <f>IF(Real_Nom="Nominal",Data!S131*In_Out!Q23,Data!S131)</f>
        <v>0</v>
      </c>
      <c r="T135" s="215">
        <f>IF(Real_Nom="Nominal",Data!T131*In_Out!R23,Data!T131)</f>
        <v>0</v>
      </c>
      <c r="U135" s="215">
        <f>IF(Real_Nom="Nominal",Data!U131*In_Out!S23,Data!U131)</f>
        <v>0</v>
      </c>
      <c r="V135" s="215">
        <f>IF(Real_Nom="Nominal",Data!V131*In_Out!T23,Data!V131)</f>
        <v>0</v>
      </c>
      <c r="W135" s="215">
        <f>IF(Real_Nom="Nominal",Data!W131*In_Out!U23,Data!W131)</f>
        <v>0</v>
      </c>
      <c r="X135" s="215">
        <f>IF(Real_Nom="Nominal",Data!X131*In_Out!V23,Data!X131)</f>
        <v>0</v>
      </c>
      <c r="Y135" s="215">
        <f>IF(Real_Nom="Nominal",Data!Y131*In_Out!W23,Data!Y131)</f>
        <v>0</v>
      </c>
      <c r="Z135" s="215">
        <f>IF(Real_Nom="Nominal",Data!Z131*In_Out!X23,Data!Z131)</f>
        <v>0</v>
      </c>
      <c r="AA135" s="215">
        <f>IF(Real_Nom="Nominal",Data!AA131*In_Out!Y23,Data!AA131)</f>
        <v>0</v>
      </c>
      <c r="AB135" s="215">
        <f>IF(Real_Nom="Nominal",Data!AB131*In_Out!Z23,Data!AB131)</f>
        <v>0</v>
      </c>
      <c r="AC135" s="215">
        <f>IF(Real_Nom="Nominal",Data!AC131*In_Out!AA23,Data!AC131)</f>
        <v>0</v>
      </c>
      <c r="AD135" s="215">
        <f>IF(Real_Nom="Nominal",Data!AD131*In_Out!AB23,Data!AD131)</f>
        <v>0</v>
      </c>
      <c r="AE135" s="215">
        <f>IF(Real_Nom="Nominal",Data!AE131*In_Out!AC23,Data!AE131)</f>
        <v>0</v>
      </c>
      <c r="AF135" s="215">
        <f>IF(Real_Nom="Nominal",Data!AF131*In_Out!AD23,Data!AF131)</f>
        <v>0</v>
      </c>
      <c r="AG135" s="215">
        <f>IF(Real_Nom="Nominal",Data!AG131*In_Out!AE23,Data!AG131)</f>
        <v>0</v>
      </c>
      <c r="AH135" s="226">
        <f>IF(Real_Nom="Nominal",Data!AH131*In_Out!AF23,Data!AH131)</f>
        <v>0</v>
      </c>
    </row>
    <row r="136" spans="2:41" ht="15.75" thickBot="1" x14ac:dyDescent="0.3">
      <c r="B136" s="1" t="s">
        <v>327</v>
      </c>
      <c r="C136" s="134" t="s">
        <v>328</v>
      </c>
      <c r="D136" s="166" t="e" cm="1">
        <f t="array" ref="D136:AH136">IF((Year_Ar-Start_Yr)&lt;Life,1,0)</f>
        <v>#VALUE!</v>
      </c>
      <c r="E136" s="166" t="e">
        <v>#VALUE!</v>
      </c>
      <c r="F136" s="166" t="e">
        <v>#VALUE!</v>
      </c>
      <c r="G136" s="166" t="e">
        <v>#VALUE!</v>
      </c>
      <c r="H136" s="166" t="e">
        <v>#VALUE!</v>
      </c>
      <c r="I136" s="166" t="e">
        <v>#VALUE!</v>
      </c>
      <c r="J136" s="166" t="e">
        <v>#VALUE!</v>
      </c>
      <c r="K136" s="166" t="e">
        <v>#VALUE!</v>
      </c>
      <c r="L136" s="166" t="e">
        <v>#VALUE!</v>
      </c>
      <c r="M136" s="166" t="e">
        <v>#VALUE!</v>
      </c>
      <c r="N136" s="166" t="e">
        <v>#VALUE!</v>
      </c>
      <c r="O136" s="166" t="e">
        <v>#VALUE!</v>
      </c>
      <c r="P136" s="166" t="e">
        <v>#VALUE!</v>
      </c>
      <c r="Q136" s="166" t="e">
        <v>#VALUE!</v>
      </c>
      <c r="R136" s="166" t="e">
        <v>#VALUE!</v>
      </c>
      <c r="S136" s="166" t="e">
        <v>#VALUE!</v>
      </c>
      <c r="T136" s="166" t="e">
        <v>#VALUE!</v>
      </c>
      <c r="U136" s="166" t="e">
        <v>#VALUE!</v>
      </c>
      <c r="V136" s="166" t="e">
        <v>#VALUE!</v>
      </c>
      <c r="W136" s="166" t="e">
        <v>#VALUE!</v>
      </c>
      <c r="X136" s="166" t="e">
        <v>#VALUE!</v>
      </c>
      <c r="Y136" s="166" t="e">
        <v>#VALUE!</v>
      </c>
      <c r="Z136" s="166" t="e">
        <v>#VALUE!</v>
      </c>
      <c r="AA136" s="166" t="e">
        <v>#VALUE!</v>
      </c>
      <c r="AB136" s="166" t="e">
        <v>#VALUE!</v>
      </c>
      <c r="AC136" s="166" t="e">
        <v>#VALUE!</v>
      </c>
      <c r="AD136" s="166" t="e">
        <v>#VALUE!</v>
      </c>
      <c r="AE136" s="166" t="e">
        <v>#VALUE!</v>
      </c>
      <c r="AF136" s="166" t="e">
        <v>#VALUE!</v>
      </c>
      <c r="AG136" s="166" t="e">
        <v>#VALUE!</v>
      </c>
      <c r="AH136" s="229" t="e">
        <v>#VALUE!</v>
      </c>
    </row>
    <row r="137" spans="2:41" x14ac:dyDescent="0.25">
      <c r="B137" s="1" t="s">
        <v>320</v>
      </c>
      <c r="C137" s="133" t="s">
        <v>321</v>
      </c>
      <c r="D137" s="230">
        <f>IF(AND(D$125&gt;2020,D$125&lt;=2025),1,0)</f>
        <v>0</v>
      </c>
      <c r="E137" s="227">
        <f t="shared" ref="E137:AH137" si="8">IF(AND(E$125&gt;2020,E$125&lt;=2025),1,0)</f>
        <v>0</v>
      </c>
      <c r="F137" s="227">
        <f t="shared" si="8"/>
        <v>0</v>
      </c>
      <c r="G137" s="227">
        <f t="shared" si="8"/>
        <v>0</v>
      </c>
      <c r="H137" s="227">
        <f t="shared" si="8"/>
        <v>0</v>
      </c>
      <c r="I137" s="227">
        <f t="shared" si="8"/>
        <v>0</v>
      </c>
      <c r="J137" s="227">
        <f t="shared" si="8"/>
        <v>0</v>
      </c>
      <c r="K137" s="227">
        <f t="shared" si="8"/>
        <v>0</v>
      </c>
      <c r="L137" s="227">
        <f t="shared" si="8"/>
        <v>0</v>
      </c>
      <c r="M137" s="227">
        <f t="shared" si="8"/>
        <v>0</v>
      </c>
      <c r="N137" s="227">
        <f t="shared" si="8"/>
        <v>0</v>
      </c>
      <c r="O137" s="227">
        <f t="shared" si="8"/>
        <v>0</v>
      </c>
      <c r="P137" s="227">
        <f t="shared" si="8"/>
        <v>0</v>
      </c>
      <c r="Q137" s="227">
        <f t="shared" si="8"/>
        <v>0</v>
      </c>
      <c r="R137" s="227">
        <f t="shared" si="8"/>
        <v>0</v>
      </c>
      <c r="S137" s="227">
        <f t="shared" si="8"/>
        <v>0</v>
      </c>
      <c r="T137" s="227">
        <f t="shared" si="8"/>
        <v>0</v>
      </c>
      <c r="U137" s="227">
        <f t="shared" si="8"/>
        <v>0</v>
      </c>
      <c r="V137" s="227">
        <f t="shared" si="8"/>
        <v>0</v>
      </c>
      <c r="W137" s="227">
        <f t="shared" si="8"/>
        <v>0</v>
      </c>
      <c r="X137" s="227">
        <f t="shared" si="8"/>
        <v>0</v>
      </c>
      <c r="Y137" s="227">
        <f t="shared" si="8"/>
        <v>0</v>
      </c>
      <c r="Z137" s="227">
        <f t="shared" si="8"/>
        <v>0</v>
      </c>
      <c r="AA137" s="227">
        <f t="shared" si="8"/>
        <v>0</v>
      </c>
      <c r="AB137" s="227">
        <f t="shared" si="8"/>
        <v>0</v>
      </c>
      <c r="AC137" s="227">
        <f t="shared" si="8"/>
        <v>0</v>
      </c>
      <c r="AD137" s="227">
        <f t="shared" si="8"/>
        <v>0</v>
      </c>
      <c r="AE137" s="227">
        <f t="shared" si="8"/>
        <v>0</v>
      </c>
      <c r="AF137" s="227">
        <f t="shared" si="8"/>
        <v>0</v>
      </c>
      <c r="AG137" s="227">
        <f t="shared" si="8"/>
        <v>0</v>
      </c>
      <c r="AH137" s="228">
        <f t="shared" si="8"/>
        <v>0</v>
      </c>
    </row>
    <row r="138" spans="2:41" x14ac:dyDescent="0.25">
      <c r="C138" s="134" t="s">
        <v>322</v>
      </c>
      <c r="D138" s="231">
        <f>IF(AND(D$125&gt;2025,D$125&lt;=2030),1,0)</f>
        <v>0</v>
      </c>
      <c r="E138" s="166">
        <f t="shared" ref="E138:AH138" si="9">IF(AND(E$125&gt;2025,E$125&lt;=2030),1,0)</f>
        <v>0</v>
      </c>
      <c r="F138" s="166">
        <f t="shared" si="9"/>
        <v>0</v>
      </c>
      <c r="G138" s="166">
        <f t="shared" si="9"/>
        <v>0</v>
      </c>
      <c r="H138" s="166">
        <f t="shared" si="9"/>
        <v>0</v>
      </c>
      <c r="I138" s="166">
        <f t="shared" si="9"/>
        <v>0</v>
      </c>
      <c r="J138" s="166">
        <f t="shared" si="9"/>
        <v>0</v>
      </c>
      <c r="K138" s="166">
        <f t="shared" si="9"/>
        <v>0</v>
      </c>
      <c r="L138" s="166">
        <f t="shared" si="9"/>
        <v>0</v>
      </c>
      <c r="M138" s="166">
        <f t="shared" si="9"/>
        <v>0</v>
      </c>
      <c r="N138" s="166">
        <f t="shared" si="9"/>
        <v>0</v>
      </c>
      <c r="O138" s="166">
        <f t="shared" si="9"/>
        <v>0</v>
      </c>
      <c r="P138" s="166">
        <f t="shared" si="9"/>
        <v>0</v>
      </c>
      <c r="Q138" s="166">
        <f t="shared" si="9"/>
        <v>0</v>
      </c>
      <c r="R138" s="166">
        <f t="shared" si="9"/>
        <v>0</v>
      </c>
      <c r="S138" s="166">
        <f t="shared" si="9"/>
        <v>0</v>
      </c>
      <c r="T138" s="166">
        <f t="shared" si="9"/>
        <v>0</v>
      </c>
      <c r="U138" s="166">
        <f t="shared" si="9"/>
        <v>0</v>
      </c>
      <c r="V138" s="166">
        <f t="shared" si="9"/>
        <v>0</v>
      </c>
      <c r="W138" s="166">
        <f t="shared" si="9"/>
        <v>0</v>
      </c>
      <c r="X138" s="166">
        <f t="shared" si="9"/>
        <v>0</v>
      </c>
      <c r="Y138" s="166">
        <f t="shared" si="9"/>
        <v>0</v>
      </c>
      <c r="Z138" s="166">
        <f t="shared" si="9"/>
        <v>0</v>
      </c>
      <c r="AA138" s="166">
        <f t="shared" si="9"/>
        <v>0</v>
      </c>
      <c r="AB138" s="166">
        <f t="shared" si="9"/>
        <v>0</v>
      </c>
      <c r="AC138" s="166">
        <f t="shared" si="9"/>
        <v>0</v>
      </c>
      <c r="AD138" s="166">
        <f t="shared" si="9"/>
        <v>0</v>
      </c>
      <c r="AE138" s="166">
        <f t="shared" si="9"/>
        <v>0</v>
      </c>
      <c r="AF138" s="166">
        <f t="shared" si="9"/>
        <v>0</v>
      </c>
      <c r="AG138" s="166">
        <f t="shared" si="9"/>
        <v>0</v>
      </c>
      <c r="AH138" s="229">
        <f t="shared" si="9"/>
        <v>0</v>
      </c>
    </row>
    <row r="139" spans="2:41" x14ac:dyDescent="0.25">
      <c r="C139" s="134" t="s">
        <v>323</v>
      </c>
      <c r="D139" s="231">
        <f>IF(AND(D$125&gt;2030,D$125&lt;=2035),1,0)</f>
        <v>0</v>
      </c>
      <c r="E139" s="166">
        <f t="shared" ref="E139:AH139" si="10">IF(AND(E$125&gt;2030,E$125&lt;=2035),1,0)</f>
        <v>0</v>
      </c>
      <c r="F139" s="166">
        <f t="shared" si="10"/>
        <v>0</v>
      </c>
      <c r="G139" s="166">
        <f t="shared" si="10"/>
        <v>0</v>
      </c>
      <c r="H139" s="166">
        <f t="shared" si="10"/>
        <v>0</v>
      </c>
      <c r="I139" s="166">
        <f t="shared" si="10"/>
        <v>0</v>
      </c>
      <c r="J139" s="166">
        <f t="shared" si="10"/>
        <v>0</v>
      </c>
      <c r="K139" s="166">
        <f t="shared" si="10"/>
        <v>0</v>
      </c>
      <c r="L139" s="166">
        <f t="shared" si="10"/>
        <v>0</v>
      </c>
      <c r="M139" s="166">
        <f t="shared" si="10"/>
        <v>0</v>
      </c>
      <c r="N139" s="166">
        <f t="shared" si="10"/>
        <v>0</v>
      </c>
      <c r="O139" s="166">
        <f t="shared" si="10"/>
        <v>0</v>
      </c>
      <c r="P139" s="166">
        <f t="shared" si="10"/>
        <v>0</v>
      </c>
      <c r="Q139" s="166">
        <f t="shared" si="10"/>
        <v>0</v>
      </c>
      <c r="R139" s="166">
        <f t="shared" si="10"/>
        <v>0</v>
      </c>
      <c r="S139" s="166">
        <f t="shared" si="10"/>
        <v>0</v>
      </c>
      <c r="T139" s="166">
        <f t="shared" si="10"/>
        <v>0</v>
      </c>
      <c r="U139" s="166">
        <f t="shared" si="10"/>
        <v>0</v>
      </c>
      <c r="V139" s="166">
        <f t="shared" si="10"/>
        <v>0</v>
      </c>
      <c r="W139" s="166">
        <f t="shared" si="10"/>
        <v>0</v>
      </c>
      <c r="X139" s="166">
        <f t="shared" si="10"/>
        <v>0</v>
      </c>
      <c r="Y139" s="166">
        <f t="shared" si="10"/>
        <v>0</v>
      </c>
      <c r="Z139" s="166">
        <f t="shared" si="10"/>
        <v>0</v>
      </c>
      <c r="AA139" s="166">
        <f t="shared" si="10"/>
        <v>0</v>
      </c>
      <c r="AB139" s="166">
        <f t="shared" si="10"/>
        <v>0</v>
      </c>
      <c r="AC139" s="166">
        <f t="shared" si="10"/>
        <v>0</v>
      </c>
      <c r="AD139" s="166">
        <f t="shared" si="10"/>
        <v>0</v>
      </c>
      <c r="AE139" s="166">
        <f t="shared" si="10"/>
        <v>0</v>
      </c>
      <c r="AF139" s="166">
        <f t="shared" si="10"/>
        <v>0</v>
      </c>
      <c r="AG139" s="166">
        <f t="shared" si="10"/>
        <v>0</v>
      </c>
      <c r="AH139" s="229">
        <f t="shared" si="10"/>
        <v>0</v>
      </c>
    </row>
    <row r="140" spans="2:41" x14ac:dyDescent="0.25">
      <c r="C140" s="134" t="s">
        <v>324</v>
      </c>
      <c r="D140" s="231">
        <f>IF(AND(D$125&gt;2035,D$125&lt;=2040),1,0)</f>
        <v>0</v>
      </c>
      <c r="E140" s="166">
        <f t="shared" ref="E140:AH140" si="11">IF(AND(E$125&gt;2035,E$125&lt;=2040),1,0)</f>
        <v>0</v>
      </c>
      <c r="F140" s="166">
        <f t="shared" si="11"/>
        <v>0</v>
      </c>
      <c r="G140" s="166">
        <f t="shared" si="11"/>
        <v>0</v>
      </c>
      <c r="H140" s="166">
        <f t="shared" si="11"/>
        <v>0</v>
      </c>
      <c r="I140" s="166">
        <f t="shared" si="11"/>
        <v>0</v>
      </c>
      <c r="J140" s="166">
        <f t="shared" si="11"/>
        <v>0</v>
      </c>
      <c r="K140" s="166">
        <f t="shared" si="11"/>
        <v>0</v>
      </c>
      <c r="L140" s="166">
        <f t="shared" si="11"/>
        <v>0</v>
      </c>
      <c r="M140" s="166">
        <f t="shared" si="11"/>
        <v>0</v>
      </c>
      <c r="N140" s="166">
        <f t="shared" si="11"/>
        <v>0</v>
      </c>
      <c r="O140" s="166">
        <f t="shared" si="11"/>
        <v>0</v>
      </c>
      <c r="P140" s="166">
        <f t="shared" si="11"/>
        <v>0</v>
      </c>
      <c r="Q140" s="166">
        <f t="shared" si="11"/>
        <v>0</v>
      </c>
      <c r="R140" s="166">
        <f t="shared" si="11"/>
        <v>0</v>
      </c>
      <c r="S140" s="166">
        <f t="shared" si="11"/>
        <v>0</v>
      </c>
      <c r="T140" s="166">
        <f t="shared" si="11"/>
        <v>0</v>
      </c>
      <c r="U140" s="166">
        <f t="shared" si="11"/>
        <v>0</v>
      </c>
      <c r="V140" s="166">
        <f t="shared" si="11"/>
        <v>0</v>
      </c>
      <c r="W140" s="166">
        <f t="shared" si="11"/>
        <v>0</v>
      </c>
      <c r="X140" s="166">
        <f t="shared" si="11"/>
        <v>0</v>
      </c>
      <c r="Y140" s="166">
        <f t="shared" si="11"/>
        <v>0</v>
      </c>
      <c r="Z140" s="166">
        <f t="shared" si="11"/>
        <v>0</v>
      </c>
      <c r="AA140" s="166">
        <f t="shared" si="11"/>
        <v>0</v>
      </c>
      <c r="AB140" s="166">
        <f t="shared" si="11"/>
        <v>0</v>
      </c>
      <c r="AC140" s="166">
        <f t="shared" si="11"/>
        <v>0</v>
      </c>
      <c r="AD140" s="166">
        <f t="shared" si="11"/>
        <v>0</v>
      </c>
      <c r="AE140" s="166">
        <f t="shared" si="11"/>
        <v>0</v>
      </c>
      <c r="AF140" s="166">
        <f t="shared" si="11"/>
        <v>0</v>
      </c>
      <c r="AG140" s="166">
        <f t="shared" si="11"/>
        <v>0</v>
      </c>
      <c r="AH140" s="229">
        <f t="shared" si="11"/>
        <v>0</v>
      </c>
    </row>
    <row r="141" spans="2:41" x14ac:dyDescent="0.25">
      <c r="C141" s="134" t="s">
        <v>325</v>
      </c>
      <c r="D141" s="231">
        <f>IF(AND(D$125&gt;2040,D$125&lt;=2045),1,0)</f>
        <v>0</v>
      </c>
      <c r="E141" s="166">
        <f t="shared" ref="E141:AH141" si="12">IF(AND(E$125&gt;2040,E$125&lt;=2045),1,0)</f>
        <v>0</v>
      </c>
      <c r="F141" s="166">
        <f t="shared" si="12"/>
        <v>0</v>
      </c>
      <c r="G141" s="166">
        <f t="shared" si="12"/>
        <v>0</v>
      </c>
      <c r="H141" s="166">
        <f t="shared" si="12"/>
        <v>0</v>
      </c>
      <c r="I141" s="166">
        <f t="shared" si="12"/>
        <v>0</v>
      </c>
      <c r="J141" s="166">
        <f t="shared" si="12"/>
        <v>0</v>
      </c>
      <c r="K141" s="166">
        <f t="shared" si="12"/>
        <v>0</v>
      </c>
      <c r="L141" s="166">
        <f t="shared" si="12"/>
        <v>0</v>
      </c>
      <c r="M141" s="166">
        <f t="shared" si="12"/>
        <v>0</v>
      </c>
      <c r="N141" s="166">
        <f t="shared" si="12"/>
        <v>0</v>
      </c>
      <c r="O141" s="166">
        <f t="shared" si="12"/>
        <v>0</v>
      </c>
      <c r="P141" s="166">
        <f t="shared" si="12"/>
        <v>0</v>
      </c>
      <c r="Q141" s="166">
        <f t="shared" si="12"/>
        <v>0</v>
      </c>
      <c r="R141" s="166">
        <f t="shared" si="12"/>
        <v>0</v>
      </c>
      <c r="S141" s="166">
        <f t="shared" si="12"/>
        <v>0</v>
      </c>
      <c r="T141" s="166">
        <f t="shared" si="12"/>
        <v>0</v>
      </c>
      <c r="U141" s="166">
        <f t="shared" si="12"/>
        <v>0</v>
      </c>
      <c r="V141" s="166">
        <f t="shared" si="12"/>
        <v>0</v>
      </c>
      <c r="W141" s="166">
        <f t="shared" si="12"/>
        <v>0</v>
      </c>
      <c r="X141" s="166">
        <f t="shared" si="12"/>
        <v>0</v>
      </c>
      <c r="Y141" s="166">
        <f t="shared" si="12"/>
        <v>0</v>
      </c>
      <c r="Z141" s="166">
        <f t="shared" si="12"/>
        <v>0</v>
      </c>
      <c r="AA141" s="166">
        <f t="shared" si="12"/>
        <v>0</v>
      </c>
      <c r="AB141" s="166">
        <f t="shared" si="12"/>
        <v>0</v>
      </c>
      <c r="AC141" s="166">
        <f t="shared" si="12"/>
        <v>0</v>
      </c>
      <c r="AD141" s="166">
        <f t="shared" si="12"/>
        <v>0</v>
      </c>
      <c r="AE141" s="166">
        <f t="shared" si="12"/>
        <v>0</v>
      </c>
      <c r="AF141" s="166">
        <f t="shared" si="12"/>
        <v>0</v>
      </c>
      <c r="AG141" s="166">
        <f t="shared" si="12"/>
        <v>0</v>
      </c>
      <c r="AH141" s="229">
        <f t="shared" si="12"/>
        <v>0</v>
      </c>
    </row>
    <row r="142" spans="2:41" ht="15.75" thickBot="1" x14ac:dyDescent="0.3">
      <c r="C142" s="135" t="s">
        <v>326</v>
      </c>
      <c r="D142" s="232">
        <f>IF(AND(D$125&gt;2045,D$125&lt;=2050),1,0)</f>
        <v>0</v>
      </c>
      <c r="E142" s="215">
        <f t="shared" ref="E142:AH142" si="13">IF(AND(E$125&gt;2045,E$125&lt;=2050),1,0)</f>
        <v>0</v>
      </c>
      <c r="F142" s="215">
        <f t="shared" si="13"/>
        <v>0</v>
      </c>
      <c r="G142" s="215">
        <f t="shared" si="13"/>
        <v>0</v>
      </c>
      <c r="H142" s="215">
        <f t="shared" si="13"/>
        <v>0</v>
      </c>
      <c r="I142" s="215">
        <f t="shared" si="13"/>
        <v>0</v>
      </c>
      <c r="J142" s="215">
        <f t="shared" si="13"/>
        <v>0</v>
      </c>
      <c r="K142" s="215">
        <f t="shared" si="13"/>
        <v>0</v>
      </c>
      <c r="L142" s="215">
        <f t="shared" si="13"/>
        <v>0</v>
      </c>
      <c r="M142" s="215">
        <f t="shared" si="13"/>
        <v>0</v>
      </c>
      <c r="N142" s="215">
        <f t="shared" si="13"/>
        <v>0</v>
      </c>
      <c r="O142" s="215">
        <f t="shared" si="13"/>
        <v>0</v>
      </c>
      <c r="P142" s="215">
        <f t="shared" si="13"/>
        <v>0</v>
      </c>
      <c r="Q142" s="215">
        <f t="shared" si="13"/>
        <v>0</v>
      </c>
      <c r="R142" s="215">
        <f t="shared" si="13"/>
        <v>0</v>
      </c>
      <c r="S142" s="215">
        <f t="shared" si="13"/>
        <v>0</v>
      </c>
      <c r="T142" s="215">
        <f t="shared" si="13"/>
        <v>0</v>
      </c>
      <c r="U142" s="215">
        <f t="shared" si="13"/>
        <v>0</v>
      </c>
      <c r="V142" s="215">
        <f t="shared" si="13"/>
        <v>0</v>
      </c>
      <c r="W142" s="215">
        <f t="shared" si="13"/>
        <v>0</v>
      </c>
      <c r="X142" s="215">
        <f t="shared" si="13"/>
        <v>0</v>
      </c>
      <c r="Y142" s="215">
        <f t="shared" si="13"/>
        <v>0</v>
      </c>
      <c r="Z142" s="215">
        <f t="shared" si="13"/>
        <v>0</v>
      </c>
      <c r="AA142" s="215">
        <f t="shared" si="13"/>
        <v>0</v>
      </c>
      <c r="AB142" s="215">
        <f t="shared" si="13"/>
        <v>0</v>
      </c>
      <c r="AC142" s="215">
        <f t="shared" si="13"/>
        <v>0</v>
      </c>
      <c r="AD142" s="215">
        <f t="shared" si="13"/>
        <v>0</v>
      </c>
      <c r="AE142" s="215">
        <f t="shared" si="13"/>
        <v>0</v>
      </c>
      <c r="AF142" s="215">
        <f t="shared" si="13"/>
        <v>0</v>
      </c>
      <c r="AG142" s="215">
        <f t="shared" si="13"/>
        <v>0</v>
      </c>
      <c r="AH142" s="226">
        <f t="shared" si="13"/>
        <v>0</v>
      </c>
    </row>
    <row r="144" spans="2:41" ht="15.75" thickBot="1" x14ac:dyDescent="0.3">
      <c r="C144" t="s">
        <v>188</v>
      </c>
      <c r="D144">
        <f t="shared" ref="D144:AO144" si="14">_xlfn.XMATCH(D145,$B$154:$BC$154)</f>
        <v>15</v>
      </c>
      <c r="E144">
        <f t="shared" si="14"/>
        <v>16</v>
      </c>
      <c r="F144">
        <f t="shared" si="14"/>
        <v>17</v>
      </c>
      <c r="G144">
        <f t="shared" si="14"/>
        <v>18</v>
      </c>
      <c r="H144">
        <f t="shared" si="14"/>
        <v>19</v>
      </c>
      <c r="I144">
        <f t="shared" si="14"/>
        <v>20</v>
      </c>
      <c r="J144">
        <f t="shared" si="14"/>
        <v>21</v>
      </c>
      <c r="K144">
        <f t="shared" si="14"/>
        <v>22</v>
      </c>
      <c r="L144">
        <f t="shared" si="14"/>
        <v>23</v>
      </c>
      <c r="M144">
        <f t="shared" si="14"/>
        <v>24</v>
      </c>
      <c r="N144">
        <f t="shared" si="14"/>
        <v>25</v>
      </c>
      <c r="O144">
        <f t="shared" si="14"/>
        <v>26</v>
      </c>
      <c r="P144">
        <f t="shared" si="14"/>
        <v>27</v>
      </c>
      <c r="Q144">
        <f t="shared" si="14"/>
        <v>28</v>
      </c>
      <c r="R144">
        <f t="shared" si="14"/>
        <v>29</v>
      </c>
      <c r="S144">
        <f t="shared" si="14"/>
        <v>30</v>
      </c>
      <c r="T144">
        <f t="shared" si="14"/>
        <v>31</v>
      </c>
      <c r="U144">
        <f t="shared" si="14"/>
        <v>32</v>
      </c>
      <c r="V144">
        <f t="shared" si="14"/>
        <v>33</v>
      </c>
      <c r="W144">
        <f t="shared" si="14"/>
        <v>34</v>
      </c>
      <c r="X144">
        <f t="shared" si="14"/>
        <v>35</v>
      </c>
      <c r="Y144">
        <f t="shared" si="14"/>
        <v>36</v>
      </c>
      <c r="Z144">
        <f t="shared" si="14"/>
        <v>37</v>
      </c>
      <c r="AA144">
        <f t="shared" si="14"/>
        <v>38</v>
      </c>
      <c r="AB144">
        <f t="shared" si="14"/>
        <v>39</v>
      </c>
      <c r="AC144">
        <f t="shared" si="14"/>
        <v>40</v>
      </c>
      <c r="AD144">
        <f t="shared" si="14"/>
        <v>41</v>
      </c>
      <c r="AE144">
        <f t="shared" si="14"/>
        <v>42</v>
      </c>
      <c r="AF144">
        <f t="shared" si="14"/>
        <v>43</v>
      </c>
      <c r="AG144">
        <f t="shared" si="14"/>
        <v>44</v>
      </c>
      <c r="AH144">
        <f t="shared" si="14"/>
        <v>45</v>
      </c>
      <c r="AI144">
        <f t="shared" si="14"/>
        <v>46</v>
      </c>
      <c r="AJ144">
        <f t="shared" si="14"/>
        <v>47</v>
      </c>
      <c r="AK144">
        <f t="shared" si="14"/>
        <v>48</v>
      </c>
      <c r="AL144">
        <f t="shared" si="14"/>
        <v>49</v>
      </c>
      <c r="AM144">
        <f t="shared" si="14"/>
        <v>50</v>
      </c>
      <c r="AN144">
        <f t="shared" si="14"/>
        <v>51</v>
      </c>
      <c r="AO144">
        <f t="shared" si="14"/>
        <v>52</v>
      </c>
    </row>
    <row r="145" spans="1:55" ht="15.75" thickBot="1" x14ac:dyDescent="0.3">
      <c r="A145" s="284"/>
      <c r="B145" s="284"/>
      <c r="C145" s="284" t="s">
        <v>79</v>
      </c>
      <c r="D145" s="285">
        <v>2023</v>
      </c>
      <c r="E145" s="286">
        <v>2024</v>
      </c>
      <c r="F145" s="286">
        <v>2025</v>
      </c>
      <c r="G145" s="286">
        <v>2026</v>
      </c>
      <c r="H145" s="286">
        <v>2027</v>
      </c>
      <c r="I145" s="286">
        <v>2028</v>
      </c>
      <c r="J145" s="286">
        <v>2029</v>
      </c>
      <c r="K145" s="286">
        <v>2030</v>
      </c>
      <c r="L145" s="286">
        <v>2031</v>
      </c>
      <c r="M145" s="286">
        <v>2032</v>
      </c>
      <c r="N145" s="286">
        <v>2033</v>
      </c>
      <c r="O145" s="286">
        <v>2034</v>
      </c>
      <c r="P145" s="286">
        <v>2035</v>
      </c>
      <c r="Q145" s="286">
        <v>2036</v>
      </c>
      <c r="R145" s="286">
        <v>2037</v>
      </c>
      <c r="S145" s="286">
        <v>2038</v>
      </c>
      <c r="T145" s="286">
        <v>2039</v>
      </c>
      <c r="U145" s="286">
        <v>2040</v>
      </c>
      <c r="V145" s="286">
        <v>2041</v>
      </c>
      <c r="W145" s="286">
        <v>2042</v>
      </c>
      <c r="X145" s="286">
        <v>2043</v>
      </c>
      <c r="Y145" s="286">
        <v>2044</v>
      </c>
      <c r="Z145" s="286">
        <v>2045</v>
      </c>
      <c r="AA145" s="286">
        <v>2046</v>
      </c>
      <c r="AB145" s="286">
        <v>2047</v>
      </c>
      <c r="AC145" s="286">
        <v>2048</v>
      </c>
      <c r="AD145" s="286">
        <v>2049</v>
      </c>
      <c r="AE145" s="286">
        <v>2050</v>
      </c>
      <c r="AF145" s="286">
        <v>2051</v>
      </c>
      <c r="AG145" s="286">
        <v>2052</v>
      </c>
      <c r="AH145" s="286">
        <v>2053</v>
      </c>
      <c r="AI145" s="286">
        <v>2054</v>
      </c>
      <c r="AJ145" s="286">
        <v>2055</v>
      </c>
      <c r="AK145" s="286">
        <v>2056</v>
      </c>
      <c r="AL145" s="286">
        <v>2057</v>
      </c>
      <c r="AM145" s="286">
        <v>2058</v>
      </c>
      <c r="AN145" s="286">
        <v>2059</v>
      </c>
      <c r="AO145" s="287">
        <v>2060</v>
      </c>
      <c r="AP145" s="284"/>
      <c r="AQ145" s="284"/>
      <c r="AR145" s="284"/>
      <c r="AS145" s="284"/>
      <c r="AT145" s="284"/>
      <c r="AU145" s="284"/>
      <c r="AV145" s="284"/>
      <c r="AW145" s="284"/>
      <c r="AX145" s="284"/>
      <c r="AY145" s="284"/>
      <c r="AZ145" s="284"/>
      <c r="BA145" s="284"/>
      <c r="BB145" s="284"/>
      <c r="BC145" s="284"/>
    </row>
    <row r="146" spans="1:55" x14ac:dyDescent="0.25">
      <c r="A146" s="284"/>
      <c r="B146" s="288" t="s">
        <v>260</v>
      </c>
      <c r="C146" s="284" t="s">
        <v>351</v>
      </c>
      <c r="D146" s="189">
        <v>171</v>
      </c>
      <c r="E146" s="190">
        <v>182</v>
      </c>
      <c r="F146" s="190">
        <v>193</v>
      </c>
      <c r="G146" s="190">
        <v>203</v>
      </c>
      <c r="H146" s="190">
        <v>214</v>
      </c>
      <c r="I146" s="190">
        <v>219</v>
      </c>
      <c r="J146" s="190">
        <v>224</v>
      </c>
      <c r="K146" s="190">
        <v>230</v>
      </c>
      <c r="L146" s="190">
        <v>235</v>
      </c>
      <c r="M146" s="190">
        <v>241</v>
      </c>
      <c r="N146" s="190">
        <v>247</v>
      </c>
      <c r="O146" s="190">
        <v>253</v>
      </c>
      <c r="P146" s="190">
        <v>259</v>
      </c>
      <c r="Q146" s="190">
        <v>265</v>
      </c>
      <c r="R146" s="190">
        <v>271</v>
      </c>
      <c r="S146" s="190">
        <v>278</v>
      </c>
      <c r="T146" s="190">
        <v>284</v>
      </c>
      <c r="U146" s="190">
        <v>291</v>
      </c>
      <c r="V146" s="190">
        <v>298</v>
      </c>
      <c r="W146" s="190">
        <v>305</v>
      </c>
      <c r="X146" s="190">
        <v>313</v>
      </c>
      <c r="Y146" s="190">
        <v>320</v>
      </c>
      <c r="Z146" s="190">
        <v>328</v>
      </c>
      <c r="AA146" s="190">
        <v>336</v>
      </c>
      <c r="AB146" s="190">
        <v>344</v>
      </c>
      <c r="AC146" s="190">
        <v>352</v>
      </c>
      <c r="AD146" s="190">
        <v>361</v>
      </c>
      <c r="AE146" s="190">
        <v>369</v>
      </c>
      <c r="AF146" s="190">
        <v>387</v>
      </c>
      <c r="AG146" s="190">
        <v>407</v>
      </c>
      <c r="AH146" s="190">
        <v>427</v>
      </c>
      <c r="AI146" s="190">
        <v>448</v>
      </c>
      <c r="AJ146" s="190">
        <v>471</v>
      </c>
      <c r="AK146" s="190">
        <v>494</v>
      </c>
      <c r="AL146" s="190">
        <v>519</v>
      </c>
      <c r="AM146" s="190">
        <v>545</v>
      </c>
      <c r="AN146" s="190">
        <v>527</v>
      </c>
      <c r="AO146" s="191">
        <v>601</v>
      </c>
      <c r="AP146" s="284"/>
      <c r="AQ146" s="284"/>
      <c r="AR146" s="284"/>
      <c r="AS146" s="284"/>
      <c r="AT146" s="284"/>
      <c r="AU146" s="284"/>
      <c r="AV146" s="284"/>
      <c r="AW146" s="284"/>
      <c r="AX146" s="284"/>
      <c r="AY146" s="284"/>
      <c r="AZ146" s="284"/>
      <c r="BA146" s="284"/>
      <c r="BB146" s="284"/>
      <c r="BC146" s="284"/>
    </row>
    <row r="147" spans="1:55" x14ac:dyDescent="0.25">
      <c r="A147" s="284"/>
      <c r="B147" s="284"/>
      <c r="C147" s="284" t="s">
        <v>352</v>
      </c>
      <c r="D147" s="192">
        <v>87</v>
      </c>
      <c r="E147" s="187">
        <v>97</v>
      </c>
      <c r="F147" s="187">
        <v>107</v>
      </c>
      <c r="G147" s="187">
        <v>116</v>
      </c>
      <c r="H147" s="187">
        <v>126</v>
      </c>
      <c r="I147" s="187">
        <v>136</v>
      </c>
      <c r="J147" s="187">
        <v>146</v>
      </c>
      <c r="K147" s="187">
        <v>155</v>
      </c>
      <c r="L147" s="187">
        <v>161</v>
      </c>
      <c r="M147" s="187">
        <v>167</v>
      </c>
      <c r="N147" s="187">
        <v>174</v>
      </c>
      <c r="O147" s="187">
        <v>180</v>
      </c>
      <c r="P147" s="187">
        <v>186</v>
      </c>
      <c r="Q147" s="187">
        <v>192</v>
      </c>
      <c r="R147" s="187">
        <v>196</v>
      </c>
      <c r="S147" s="187">
        <v>204</v>
      </c>
      <c r="T147" s="187">
        <v>210</v>
      </c>
      <c r="U147" s="187">
        <v>216</v>
      </c>
      <c r="V147" s="187">
        <v>222</v>
      </c>
      <c r="W147" s="187">
        <v>228</v>
      </c>
      <c r="X147" s="187">
        <v>235</v>
      </c>
      <c r="Y147" s="187">
        <v>241</v>
      </c>
      <c r="Z147" s="187">
        <v>247</v>
      </c>
      <c r="AA147" s="187">
        <v>253</v>
      </c>
      <c r="AB147" s="187">
        <v>259</v>
      </c>
      <c r="AC147" s="187">
        <v>265</v>
      </c>
      <c r="AD147" s="187">
        <v>271</v>
      </c>
      <c r="AE147" s="187">
        <v>277</v>
      </c>
      <c r="AF147" s="187">
        <v>286</v>
      </c>
      <c r="AG147" s="187">
        <v>294</v>
      </c>
      <c r="AH147" s="187">
        <v>303</v>
      </c>
      <c r="AI147" s="187">
        <v>312</v>
      </c>
      <c r="AJ147" s="187">
        <v>321</v>
      </c>
      <c r="AK147" s="187">
        <v>331</v>
      </c>
      <c r="AL147" s="187">
        <v>341</v>
      </c>
      <c r="AM147" s="187">
        <v>351</v>
      </c>
      <c r="AN147" s="187">
        <v>362</v>
      </c>
      <c r="AO147" s="193">
        <v>373</v>
      </c>
      <c r="AP147" s="284"/>
      <c r="AQ147" s="284"/>
      <c r="AR147" s="297"/>
      <c r="AS147" s="297"/>
      <c r="AT147" s="297"/>
      <c r="AU147" s="284"/>
      <c r="AV147" s="284"/>
      <c r="AW147" s="284"/>
      <c r="AX147" s="284"/>
      <c r="AY147" s="284"/>
      <c r="AZ147" s="284"/>
      <c r="BA147" s="284"/>
      <c r="BB147" s="284"/>
      <c r="BC147" s="284"/>
    </row>
    <row r="148" spans="1:55" ht="15.75" thickBot="1" x14ac:dyDescent="0.3">
      <c r="A148" s="284"/>
      <c r="B148" s="284"/>
      <c r="C148" s="284" t="s">
        <v>353</v>
      </c>
      <c r="D148" s="194">
        <v>59</v>
      </c>
      <c r="E148" s="195">
        <v>65</v>
      </c>
      <c r="F148" s="195">
        <v>72</v>
      </c>
      <c r="G148" s="195">
        <v>78</v>
      </c>
      <c r="H148" s="195">
        <v>85</v>
      </c>
      <c r="I148" s="195">
        <v>91</v>
      </c>
      <c r="J148" s="195">
        <v>98</v>
      </c>
      <c r="K148" s="195">
        <v>104</v>
      </c>
      <c r="L148" s="195">
        <v>108</v>
      </c>
      <c r="M148" s="195">
        <v>112</v>
      </c>
      <c r="N148" s="195">
        <v>116</v>
      </c>
      <c r="O148" s="195">
        <v>120</v>
      </c>
      <c r="P148" s="195">
        <v>124</v>
      </c>
      <c r="Q148" s="195">
        <v>129</v>
      </c>
      <c r="R148" s="195">
        <v>133</v>
      </c>
      <c r="S148" s="195">
        <v>137</v>
      </c>
      <c r="T148" s="195">
        <v>141</v>
      </c>
      <c r="U148" s="195">
        <v>145</v>
      </c>
      <c r="V148" s="195">
        <v>149</v>
      </c>
      <c r="W148" s="195">
        <v>153</v>
      </c>
      <c r="X148" s="195">
        <v>157</v>
      </c>
      <c r="Y148" s="195">
        <v>161</v>
      </c>
      <c r="Z148" s="195">
        <v>165</v>
      </c>
      <c r="AA148" s="195">
        <v>169</v>
      </c>
      <c r="AB148" s="195">
        <v>173</v>
      </c>
      <c r="AC148" s="195">
        <v>178</v>
      </c>
      <c r="AD148" s="195">
        <v>182</v>
      </c>
      <c r="AE148" s="195">
        <v>186</v>
      </c>
      <c r="AF148" s="195">
        <v>188</v>
      </c>
      <c r="AG148" s="195">
        <v>189</v>
      </c>
      <c r="AH148" s="195">
        <v>191</v>
      </c>
      <c r="AI148" s="195">
        <v>193</v>
      </c>
      <c r="AJ148" s="195">
        <v>195</v>
      </c>
      <c r="AK148" s="195">
        <v>197</v>
      </c>
      <c r="AL148" s="195">
        <v>199</v>
      </c>
      <c r="AM148" s="195">
        <v>201</v>
      </c>
      <c r="AN148" s="195">
        <v>203</v>
      </c>
      <c r="AO148" s="196">
        <v>205</v>
      </c>
      <c r="AP148" s="284"/>
      <c r="AQ148" s="284"/>
      <c r="AR148" s="297"/>
      <c r="AS148" s="297"/>
      <c r="AT148" s="297"/>
      <c r="AU148" s="284"/>
      <c r="AV148" s="284"/>
      <c r="AW148" s="284"/>
      <c r="AX148" s="284"/>
      <c r="AY148" s="284"/>
      <c r="AZ148" s="284"/>
      <c r="BA148" s="284"/>
      <c r="BB148" s="284"/>
      <c r="BC148" s="284"/>
    </row>
    <row r="149" spans="1:55" x14ac:dyDescent="0.25">
      <c r="A149" s="284"/>
      <c r="B149" s="293"/>
      <c r="C149" s="284"/>
      <c r="D149" s="294"/>
      <c r="E149" s="295"/>
      <c r="F149" s="295"/>
      <c r="G149" s="295"/>
      <c r="H149" s="295"/>
      <c r="I149" s="295"/>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84"/>
      <c r="AS149" s="284"/>
      <c r="AT149" s="284"/>
      <c r="AU149" s="284"/>
      <c r="AV149" s="284"/>
      <c r="AW149" s="284"/>
      <c r="AX149" s="284"/>
      <c r="AY149" s="284"/>
      <c r="AZ149" s="284"/>
      <c r="BA149" s="284"/>
      <c r="BB149" s="284"/>
      <c r="BC149" s="284"/>
    </row>
    <row r="150" spans="1:55" x14ac:dyDescent="0.25">
      <c r="A150" s="284"/>
      <c r="B150" s="288" t="s">
        <v>189</v>
      </c>
      <c r="C150" s="300">
        <f>YEAR(CBAx_release_date)</f>
        <v>2022</v>
      </c>
      <c r="D150" s="284"/>
      <c r="E150" s="284" t="s">
        <v>190</v>
      </c>
      <c r="F150" s="293">
        <v>0.02</v>
      </c>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row>
    <row r="151" spans="1:55" x14ac:dyDescent="0.25">
      <c r="A151" s="284"/>
      <c r="B151" s="288" t="s">
        <v>191</v>
      </c>
      <c r="C151" s="63">
        <f>Start_Yr-Shadow_p_yr</f>
        <v>-2022</v>
      </c>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row>
    <row r="152" spans="1:55" x14ac:dyDescent="0.25">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row>
    <row r="153" spans="1:55" x14ac:dyDescent="0.25">
      <c r="A153" s="284"/>
      <c r="B153" s="284"/>
      <c r="C153" s="292"/>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row>
    <row r="154" spans="1:55" x14ac:dyDescent="0.25">
      <c r="A154" s="284"/>
      <c r="B154" s="284" t="s">
        <v>79</v>
      </c>
      <c r="C154" s="284">
        <v>2010</v>
      </c>
      <c r="D154" s="284">
        <v>2011</v>
      </c>
      <c r="E154" s="284">
        <v>2012</v>
      </c>
      <c r="F154" s="284">
        <v>2013</v>
      </c>
      <c r="G154" s="284">
        <v>2014</v>
      </c>
      <c r="H154" s="284">
        <v>2015</v>
      </c>
      <c r="I154" s="284">
        <v>2016</v>
      </c>
      <c r="J154" s="284">
        <v>2017</v>
      </c>
      <c r="K154" s="284">
        <v>2018</v>
      </c>
      <c r="L154" s="284">
        <v>2019</v>
      </c>
      <c r="M154" s="284">
        <v>2020</v>
      </c>
      <c r="N154" s="284">
        <v>2021</v>
      </c>
      <c r="O154" s="284">
        <v>2022</v>
      </c>
      <c r="P154" s="284">
        <v>2023</v>
      </c>
      <c r="Q154" s="284">
        <v>2024</v>
      </c>
      <c r="R154" s="284">
        <v>2025</v>
      </c>
      <c r="S154" s="284">
        <v>2026</v>
      </c>
      <c r="T154" s="284">
        <v>2027</v>
      </c>
      <c r="U154" s="284">
        <v>2028</v>
      </c>
      <c r="V154" s="284">
        <v>2029</v>
      </c>
      <c r="W154" s="284">
        <v>2030</v>
      </c>
      <c r="X154" s="284">
        <v>2031</v>
      </c>
      <c r="Y154" s="284">
        <v>2032</v>
      </c>
      <c r="Z154" s="284">
        <v>2033</v>
      </c>
      <c r="AA154" s="284">
        <v>2034</v>
      </c>
      <c r="AB154" s="284">
        <v>2035</v>
      </c>
      <c r="AC154" s="284">
        <v>2036</v>
      </c>
      <c r="AD154" s="284">
        <v>2037</v>
      </c>
      <c r="AE154" s="284">
        <v>2038</v>
      </c>
      <c r="AF154" s="284">
        <v>2039</v>
      </c>
      <c r="AG154" s="284">
        <v>2040</v>
      </c>
      <c r="AH154" s="284">
        <v>2041</v>
      </c>
      <c r="AI154" s="284">
        <v>2042</v>
      </c>
      <c r="AJ154" s="284">
        <v>2043</v>
      </c>
      <c r="AK154" s="284">
        <v>2044</v>
      </c>
      <c r="AL154" s="284">
        <v>2045</v>
      </c>
      <c r="AM154" s="284">
        <v>2046</v>
      </c>
      <c r="AN154" s="284">
        <v>2047</v>
      </c>
      <c r="AO154" s="284">
        <v>2048</v>
      </c>
      <c r="AP154" s="284">
        <v>2049</v>
      </c>
      <c r="AQ154" s="284">
        <v>2050</v>
      </c>
      <c r="AR154" s="284">
        <v>2051</v>
      </c>
      <c r="AS154" s="284">
        <v>2052</v>
      </c>
      <c r="AT154" s="284">
        <v>2053</v>
      </c>
      <c r="AU154" s="284">
        <v>2054</v>
      </c>
      <c r="AV154" s="284">
        <v>2055</v>
      </c>
      <c r="AW154" s="284">
        <v>2056</v>
      </c>
      <c r="AX154" s="284">
        <v>2057</v>
      </c>
      <c r="AY154" s="284">
        <v>2058</v>
      </c>
      <c r="AZ154" s="284">
        <v>2059</v>
      </c>
      <c r="BA154" s="284">
        <v>2060</v>
      </c>
      <c r="BB154" s="284">
        <v>2061</v>
      </c>
      <c r="BC154" s="284" t="s">
        <v>136</v>
      </c>
    </row>
    <row r="155" spans="1:55" x14ac:dyDescent="0.25">
      <c r="A155" s="284"/>
      <c r="B155" s="284" t="s">
        <v>192</v>
      </c>
      <c r="C155" s="289">
        <v>2.3E-2</v>
      </c>
      <c r="D155" s="289">
        <v>4.0500000000000001E-2</v>
      </c>
      <c r="E155" s="289">
        <v>1.0750000000000003E-2</v>
      </c>
      <c r="F155" s="289">
        <v>1.15E-2</v>
      </c>
      <c r="G155" s="289">
        <v>1.2249999999999999E-2</v>
      </c>
      <c r="H155" s="289">
        <v>3.0000000000000005E-3</v>
      </c>
      <c r="I155" s="289">
        <v>6.2500000000000003E-3</v>
      </c>
      <c r="J155" s="289">
        <v>1.8500000000000003E-2</v>
      </c>
      <c r="K155" s="289">
        <v>1.6E-2</v>
      </c>
      <c r="L155" s="289">
        <v>1.6500000000000001E-2</v>
      </c>
      <c r="M155" s="289">
        <v>1.7000000000000001E-2</v>
      </c>
      <c r="N155" s="289">
        <v>3.9E-2</v>
      </c>
      <c r="O155" s="290">
        <v>7.1499999999999994E-2</v>
      </c>
      <c r="P155" s="290">
        <v>5.9749999999999998E-2</v>
      </c>
      <c r="Q155" s="290">
        <v>3.3750000000000002E-2</v>
      </c>
      <c r="R155" s="290">
        <v>2.1250000000000002E-2</v>
      </c>
      <c r="S155" s="290">
        <v>0.02</v>
      </c>
      <c r="T155" s="290">
        <v>0.02</v>
      </c>
      <c r="U155" s="290">
        <v>0.02</v>
      </c>
      <c r="V155" s="290">
        <v>0.02</v>
      </c>
      <c r="W155" s="290">
        <v>0.02</v>
      </c>
      <c r="X155" s="290">
        <v>0.02</v>
      </c>
      <c r="Y155" s="290">
        <v>0.02</v>
      </c>
      <c r="Z155" s="290">
        <v>0.02</v>
      </c>
      <c r="AA155" s="290">
        <v>0.02</v>
      </c>
      <c r="AB155" s="290">
        <v>0.02</v>
      </c>
      <c r="AC155" s="290">
        <v>0.02</v>
      </c>
      <c r="AD155" s="290">
        <v>0.02</v>
      </c>
      <c r="AE155" s="290">
        <v>0.02</v>
      </c>
      <c r="AF155" s="290">
        <v>0.02</v>
      </c>
      <c r="AG155" s="290">
        <v>0.02</v>
      </c>
      <c r="AH155" s="290">
        <v>0.02</v>
      </c>
      <c r="AI155" s="290">
        <v>0.02</v>
      </c>
      <c r="AJ155" s="290">
        <v>0.02</v>
      </c>
      <c r="AK155" s="290">
        <v>0.02</v>
      </c>
      <c r="AL155" s="290">
        <v>0.02</v>
      </c>
      <c r="AM155" s="290">
        <v>0.02</v>
      </c>
      <c r="AN155" s="290">
        <v>0.02</v>
      </c>
      <c r="AO155" s="290">
        <v>0.02</v>
      </c>
      <c r="AP155" s="290">
        <v>0.02</v>
      </c>
      <c r="AQ155" s="290">
        <v>0.02</v>
      </c>
      <c r="AR155" s="290">
        <v>0.02</v>
      </c>
      <c r="AS155" s="290">
        <v>0.02</v>
      </c>
      <c r="AT155" s="290">
        <v>0.02</v>
      </c>
      <c r="AU155" s="290">
        <v>0.02</v>
      </c>
      <c r="AV155" s="290">
        <v>0.02</v>
      </c>
      <c r="AW155" s="290">
        <v>0.02</v>
      </c>
      <c r="AX155" s="290">
        <v>0.02</v>
      </c>
      <c r="AY155" s="290">
        <v>0.02</v>
      </c>
      <c r="AZ155" s="290">
        <v>0.02</v>
      </c>
      <c r="BA155" s="290">
        <v>0.02</v>
      </c>
      <c r="BB155" s="290">
        <v>0.02</v>
      </c>
      <c r="BC155" s="284" t="s">
        <v>136</v>
      </c>
    </row>
    <row r="156" spans="1:55" x14ac:dyDescent="0.25">
      <c r="A156" s="284"/>
      <c r="B156" s="284" t="s">
        <v>193</v>
      </c>
      <c r="C156" s="291">
        <f t="shared" ref="C156:AF156" si="15">IF(C$154=Shadow_p_yr,1,IF(C$154&gt;Shadow_p_yr,B156*(1+B$155),D156*(1-D$155)))</f>
        <v>0.76500738949497182</v>
      </c>
      <c r="D156" s="291">
        <f t="shared" si="15"/>
        <v>0.79729795674306603</v>
      </c>
      <c r="E156" s="291">
        <f t="shared" si="15"/>
        <v>0.8059620487673147</v>
      </c>
      <c r="F156" s="291">
        <f t="shared" si="15"/>
        <v>0.81533844083693952</v>
      </c>
      <c r="G156" s="291">
        <f t="shared" si="15"/>
        <v>0.82545020585870865</v>
      </c>
      <c r="H156" s="291">
        <f t="shared" si="15"/>
        <v>0.82793400788235572</v>
      </c>
      <c r="I156" s="291">
        <f t="shared" si="15"/>
        <v>0.83314114000740191</v>
      </c>
      <c r="J156" s="291">
        <f t="shared" si="15"/>
        <v>0.84884476821946198</v>
      </c>
      <c r="K156" s="291">
        <f t="shared" si="15"/>
        <v>0.86264712217424999</v>
      </c>
      <c r="L156" s="291">
        <f t="shared" si="15"/>
        <v>0.87711959549999996</v>
      </c>
      <c r="M156" s="291">
        <f t="shared" si="15"/>
        <v>0.89228849999999993</v>
      </c>
      <c r="N156" s="291">
        <f t="shared" si="15"/>
        <v>0.92849999999999999</v>
      </c>
      <c r="O156" s="291">
        <f t="shared" si="15"/>
        <v>1</v>
      </c>
      <c r="P156" s="291">
        <f t="shared" si="15"/>
        <v>1.0714999999999999</v>
      </c>
      <c r="Q156" s="291">
        <f t="shared" si="15"/>
        <v>1.1355221249999998</v>
      </c>
      <c r="R156" s="291">
        <f t="shared" si="15"/>
        <v>1.1738459967187498</v>
      </c>
      <c r="S156" s="291">
        <f t="shared" si="15"/>
        <v>1.1987902241490231</v>
      </c>
      <c r="T156" s="291">
        <f t="shared" si="15"/>
        <v>1.2227660286320037</v>
      </c>
      <c r="U156" s="291">
        <f t="shared" si="15"/>
        <v>1.2472213492046438</v>
      </c>
      <c r="V156" s="291">
        <f t="shared" si="15"/>
        <v>1.2721657761887366</v>
      </c>
      <c r="W156" s="291">
        <f t="shared" si="15"/>
        <v>1.2976090917125114</v>
      </c>
      <c r="X156" s="291">
        <f t="shared" si="15"/>
        <v>1.3235612735467617</v>
      </c>
      <c r="Y156" s="291">
        <f t="shared" si="15"/>
        <v>1.3500324990176968</v>
      </c>
      <c r="Z156" s="291">
        <f t="shared" si="15"/>
        <v>1.3770331489980507</v>
      </c>
      <c r="AA156" s="291">
        <f t="shared" si="15"/>
        <v>1.4045738119780118</v>
      </c>
      <c r="AB156" s="291">
        <f t="shared" si="15"/>
        <v>1.4326652882175721</v>
      </c>
      <c r="AC156" s="291">
        <f t="shared" si="15"/>
        <v>1.4613185939819235</v>
      </c>
      <c r="AD156" s="291">
        <f t="shared" si="15"/>
        <v>1.4905449658615619</v>
      </c>
      <c r="AE156" s="291">
        <f t="shared" si="15"/>
        <v>1.5203558651787932</v>
      </c>
      <c r="AF156" s="291">
        <f t="shared" si="15"/>
        <v>1.550762982482369</v>
      </c>
      <c r="AG156" s="291">
        <f t="shared" ref="AG156:AH156" si="16">IF(AG$154=Shadow_p_yr,1,IF(AG$154&gt;Shadow_p_yr,AF156*(1+AF$155),AH156*(1-AH$155)))</f>
        <v>1.5817782421320163</v>
      </c>
      <c r="AH156" s="291">
        <f t="shared" si="16"/>
        <v>1.6134138069746566</v>
      </c>
      <c r="AI156" s="291">
        <f t="shared" ref="AI156:BB156" si="17">IF(AI$154=Shadow_p_yr,1,IF(AI$154&gt;Shadow_p_yr,AH156*(1+AH$155),AJ156*(1-AJ$155)))</f>
        <v>1.6456820831141499</v>
      </c>
      <c r="AJ156" s="291">
        <f t="shared" si="17"/>
        <v>1.6785957247764329</v>
      </c>
      <c r="AK156" s="291">
        <f t="shared" si="17"/>
        <v>1.7121676392719616</v>
      </c>
      <c r="AL156" s="291">
        <f t="shared" si="17"/>
        <v>1.7464109920574009</v>
      </c>
      <c r="AM156" s="291">
        <f t="shared" si="17"/>
        <v>1.7813392118985489</v>
      </c>
      <c r="AN156" s="291">
        <f t="shared" si="17"/>
        <v>1.8169659961365199</v>
      </c>
      <c r="AO156" s="291">
        <f t="shared" si="17"/>
        <v>1.8533053160592503</v>
      </c>
      <c r="AP156" s="291">
        <f t="shared" si="17"/>
        <v>1.8903714223804353</v>
      </c>
      <c r="AQ156" s="291">
        <f t="shared" si="17"/>
        <v>1.928178850828044</v>
      </c>
      <c r="AR156" s="291">
        <f t="shared" si="17"/>
        <v>1.9667424278446048</v>
      </c>
      <c r="AS156" s="291">
        <f t="shared" si="17"/>
        <v>2.0060772764014971</v>
      </c>
      <c r="AT156" s="291">
        <f t="shared" si="17"/>
        <v>2.0461988219295271</v>
      </c>
      <c r="AU156" s="291">
        <f t="shared" si="17"/>
        <v>2.0871227983681178</v>
      </c>
      <c r="AV156" s="291">
        <f t="shared" si="17"/>
        <v>2.12886525433548</v>
      </c>
      <c r="AW156" s="291">
        <f t="shared" si="17"/>
        <v>2.1714425594221898</v>
      </c>
      <c r="AX156" s="291">
        <f t="shared" si="17"/>
        <v>2.2148714106106335</v>
      </c>
      <c r="AY156" s="291">
        <f t="shared" si="17"/>
        <v>2.2591688388228461</v>
      </c>
      <c r="AZ156" s="291">
        <f t="shared" si="17"/>
        <v>2.304352215599303</v>
      </c>
      <c r="BA156" s="291">
        <f t="shared" si="17"/>
        <v>2.3504392599112891</v>
      </c>
      <c r="BB156" s="291">
        <f t="shared" si="17"/>
        <v>2.397448045109515</v>
      </c>
      <c r="BC156" s="284" t="s">
        <v>136</v>
      </c>
    </row>
    <row r="157" spans="1:55" x14ac:dyDescent="0.25">
      <c r="A157" s="284"/>
      <c r="B157" s="284" t="s">
        <v>194</v>
      </c>
      <c r="C157" s="291">
        <f t="shared" ref="C157:AF157" si="18">IF(Real_Nom="Real",IF(C$154=Real_Yr,1,IF(C$154&gt;Real_Yr,B157*(1+B$155),D157*(1-D$155))),1)</f>
        <v>1</v>
      </c>
      <c r="D157" s="291">
        <f t="shared" si="18"/>
        <v>1</v>
      </c>
      <c r="E157" s="291">
        <f t="shared" si="18"/>
        <v>1</v>
      </c>
      <c r="F157" s="291">
        <f t="shared" si="18"/>
        <v>1</v>
      </c>
      <c r="G157" s="291">
        <f t="shared" si="18"/>
        <v>1</v>
      </c>
      <c r="H157" s="291">
        <f t="shared" si="18"/>
        <v>1</v>
      </c>
      <c r="I157" s="291">
        <f t="shared" si="18"/>
        <v>1</v>
      </c>
      <c r="J157" s="291">
        <f t="shared" si="18"/>
        <v>1</v>
      </c>
      <c r="K157" s="291">
        <f t="shared" si="18"/>
        <v>1</v>
      </c>
      <c r="L157" s="291">
        <f t="shared" si="18"/>
        <v>1</v>
      </c>
      <c r="M157" s="291">
        <f t="shared" si="18"/>
        <v>1</v>
      </c>
      <c r="N157" s="291">
        <f t="shared" si="18"/>
        <v>1</v>
      </c>
      <c r="O157" s="291">
        <f t="shared" si="18"/>
        <v>1</v>
      </c>
      <c r="P157" s="291">
        <f t="shared" si="18"/>
        <v>1</v>
      </c>
      <c r="Q157" s="291">
        <f t="shared" si="18"/>
        <v>1</v>
      </c>
      <c r="R157" s="291">
        <f t="shared" si="18"/>
        <v>1</v>
      </c>
      <c r="S157" s="291">
        <f t="shared" si="18"/>
        <v>1</v>
      </c>
      <c r="T157" s="291">
        <f t="shared" si="18"/>
        <v>1</v>
      </c>
      <c r="U157" s="291">
        <f t="shared" si="18"/>
        <v>1</v>
      </c>
      <c r="V157" s="291">
        <f t="shared" si="18"/>
        <v>1</v>
      </c>
      <c r="W157" s="291">
        <f t="shared" si="18"/>
        <v>1</v>
      </c>
      <c r="X157" s="291">
        <f t="shared" si="18"/>
        <v>1</v>
      </c>
      <c r="Y157" s="291">
        <f t="shared" si="18"/>
        <v>1</v>
      </c>
      <c r="Z157" s="291">
        <f t="shared" si="18"/>
        <v>1</v>
      </c>
      <c r="AA157" s="291">
        <f t="shared" si="18"/>
        <v>1</v>
      </c>
      <c r="AB157" s="291">
        <f t="shared" si="18"/>
        <v>1</v>
      </c>
      <c r="AC157" s="291">
        <f t="shared" si="18"/>
        <v>1</v>
      </c>
      <c r="AD157" s="291">
        <f t="shared" si="18"/>
        <v>1</v>
      </c>
      <c r="AE157" s="291">
        <f t="shared" si="18"/>
        <v>1</v>
      </c>
      <c r="AF157" s="291">
        <f t="shared" si="18"/>
        <v>1</v>
      </c>
      <c r="AG157" s="291">
        <f t="shared" ref="AG157:AH157" si="19">IF(Real_Nom="Real",IF(AG$154=Real_Yr,1,IF(AG$154&gt;Real_Yr,AF157*(1+AF$155),AH157*(1-AH$155))),1)</f>
        <v>1</v>
      </c>
      <c r="AH157" s="291">
        <f t="shared" si="19"/>
        <v>1</v>
      </c>
      <c r="AI157" s="291">
        <f t="shared" ref="AI157:BB157" si="20">IF(Real_Nom="Real",IF(AI$154=Real_Yr,1,IF(AI$154&gt;Real_Yr,AH157*(1+AH$155),AJ157*(1-AJ$155))),1)</f>
        <v>1</v>
      </c>
      <c r="AJ157" s="291">
        <f t="shared" si="20"/>
        <v>1</v>
      </c>
      <c r="AK157" s="291">
        <f t="shared" si="20"/>
        <v>1</v>
      </c>
      <c r="AL157" s="291">
        <f t="shared" si="20"/>
        <v>1</v>
      </c>
      <c r="AM157" s="291">
        <f t="shared" si="20"/>
        <v>1</v>
      </c>
      <c r="AN157" s="291">
        <f t="shared" si="20"/>
        <v>1</v>
      </c>
      <c r="AO157" s="291">
        <f t="shared" si="20"/>
        <v>1</v>
      </c>
      <c r="AP157" s="291">
        <f t="shared" si="20"/>
        <v>1</v>
      </c>
      <c r="AQ157" s="291">
        <f t="shared" si="20"/>
        <v>1</v>
      </c>
      <c r="AR157" s="291">
        <f t="shared" si="20"/>
        <v>1</v>
      </c>
      <c r="AS157" s="291">
        <f t="shared" si="20"/>
        <v>1</v>
      </c>
      <c r="AT157" s="291">
        <f t="shared" si="20"/>
        <v>1</v>
      </c>
      <c r="AU157" s="291">
        <f t="shared" si="20"/>
        <v>1</v>
      </c>
      <c r="AV157" s="291">
        <f t="shared" si="20"/>
        <v>1</v>
      </c>
      <c r="AW157" s="291">
        <f t="shared" si="20"/>
        <v>1</v>
      </c>
      <c r="AX157" s="291">
        <f t="shared" si="20"/>
        <v>1</v>
      </c>
      <c r="AY157" s="291">
        <f t="shared" si="20"/>
        <v>1</v>
      </c>
      <c r="AZ157" s="291">
        <f t="shared" si="20"/>
        <v>1</v>
      </c>
      <c r="BA157" s="291">
        <f t="shared" si="20"/>
        <v>1</v>
      </c>
      <c r="BB157" s="291">
        <f t="shared" si="20"/>
        <v>1</v>
      </c>
      <c r="BC157" s="284" t="s">
        <v>136</v>
      </c>
    </row>
    <row r="158" spans="1:55" x14ac:dyDescent="0.25">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row>
    <row r="159" spans="1:55" x14ac:dyDescent="0.25">
      <c r="A159" s="284"/>
      <c r="B159" s="288" t="s">
        <v>195</v>
      </c>
      <c r="C159" s="63">
        <f>IF(Real_Nom="Nominal",Start_Yr,In_Out!$B$18)</f>
        <v>0</v>
      </c>
      <c r="D159" s="299" t="s">
        <v>350</v>
      </c>
      <c r="E159" s="298" t="s">
        <v>347</v>
      </c>
      <c r="F159" s="301">
        <v>45139</v>
      </c>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row>
    <row r="160" spans="1:55" x14ac:dyDescent="0.25">
      <c r="A160" s="284"/>
      <c r="B160" s="288" t="s">
        <v>196</v>
      </c>
      <c r="C160" s="302" t="e">
        <f>_xlfn.XLOOKUP(Real_Yr,$C$154:$BC$154,$C$156:$BC$156)</f>
        <v>#N/A</v>
      </c>
      <c r="D160" s="299" t="s">
        <v>349</v>
      </c>
      <c r="E160" s="298" t="s">
        <v>348</v>
      </c>
      <c r="F160" s="301">
        <v>44835</v>
      </c>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row>
    <row r="162" spans="2:55" x14ac:dyDescent="0.25">
      <c r="B162" s="2" t="s">
        <v>197</v>
      </c>
    </row>
    <row r="163" spans="2:55" x14ac:dyDescent="0.25">
      <c r="C163" t="s">
        <v>198</v>
      </c>
      <c r="D163" t="s">
        <v>199</v>
      </c>
    </row>
    <row r="164" spans="2:55" x14ac:dyDescent="0.25">
      <c r="B164" t="s">
        <v>200</v>
      </c>
      <c r="C164" s="4">
        <v>40</v>
      </c>
      <c r="D164" s="4">
        <v>20</v>
      </c>
    </row>
    <row r="165" spans="2:55" x14ac:dyDescent="0.25">
      <c r="B165" t="s">
        <v>201</v>
      </c>
      <c r="C165" s="4">
        <v>48</v>
      </c>
      <c r="D165">
        <f>C165</f>
        <v>48</v>
      </c>
    </row>
    <row r="166" spans="2:55" x14ac:dyDescent="0.25">
      <c r="B166" t="s">
        <v>202</v>
      </c>
      <c r="C166" s="4">
        <v>80</v>
      </c>
      <c r="D166">
        <f t="shared" ref="D166" si="21">C166</f>
        <v>80</v>
      </c>
    </row>
    <row r="167" spans="2:55" x14ac:dyDescent="0.25">
      <c r="B167" t="s">
        <v>203</v>
      </c>
      <c r="C167">
        <f>C165*C166/100*EF_Diesel</f>
        <v>102.14400000000001</v>
      </c>
      <c r="D167">
        <f>D165*D166/100*EF_Diesel</f>
        <v>102.14400000000001</v>
      </c>
    </row>
    <row r="168" spans="2:55" x14ac:dyDescent="0.25">
      <c r="B168" t="s">
        <v>204</v>
      </c>
      <c r="C168" s="63">
        <f>C167/(C164*1000)</f>
        <v>2.5536000000000001E-3</v>
      </c>
      <c r="D168" s="63">
        <f>D167/(D164*1000)</f>
        <v>5.1072000000000001E-3</v>
      </c>
    </row>
    <row r="171" spans="2:55" x14ac:dyDescent="0.25">
      <c r="B171" s="1" t="s">
        <v>205</v>
      </c>
    </row>
    <row r="172" spans="2:55" x14ac:dyDescent="0.25">
      <c r="E172" t="s">
        <v>206</v>
      </c>
    </row>
    <row r="173" spans="2:55" x14ac:dyDescent="0.25">
      <c r="B173" t="s">
        <v>207</v>
      </c>
      <c r="F173" t="s">
        <v>208</v>
      </c>
      <c r="L173" t="s">
        <v>209</v>
      </c>
      <c r="AG173" t="s">
        <v>136</v>
      </c>
      <c r="AH173" t="s">
        <v>210</v>
      </c>
      <c r="BC173" t="s">
        <v>136</v>
      </c>
    </row>
    <row r="174" spans="2:55" x14ac:dyDescent="0.25">
      <c r="B174" t="s">
        <v>211</v>
      </c>
      <c r="C174" t="s">
        <v>212</v>
      </c>
      <c r="D174" t="s">
        <v>213</v>
      </c>
      <c r="E174" t="s">
        <v>61</v>
      </c>
      <c r="F174" s="4">
        <v>3</v>
      </c>
      <c r="G174" s="4">
        <v>6</v>
      </c>
      <c r="H174" s="4">
        <v>9</v>
      </c>
      <c r="I174" s="4">
        <v>12</v>
      </c>
      <c r="J174" s="4">
        <v>15</v>
      </c>
      <c r="K174" s="4">
        <v>18</v>
      </c>
      <c r="L174" s="4">
        <v>0</v>
      </c>
      <c r="M174" s="4">
        <v>1</v>
      </c>
      <c r="N174" s="4">
        <v>2</v>
      </c>
      <c r="O174" s="4">
        <v>3</v>
      </c>
      <c r="P174" s="4">
        <v>4</v>
      </c>
      <c r="Q174" s="4">
        <v>5</v>
      </c>
      <c r="R174" s="4">
        <v>6</v>
      </c>
      <c r="S174" s="4">
        <v>7</v>
      </c>
      <c r="T174" s="4">
        <v>8</v>
      </c>
      <c r="U174" s="4">
        <v>9</v>
      </c>
      <c r="V174" s="4">
        <v>10</v>
      </c>
      <c r="W174" s="4">
        <v>11</v>
      </c>
      <c r="X174" s="4">
        <v>12</v>
      </c>
      <c r="Y174" s="4">
        <v>13</v>
      </c>
      <c r="Z174" s="4">
        <v>14</v>
      </c>
      <c r="AA174" s="4">
        <v>15</v>
      </c>
      <c r="AB174" s="4">
        <v>16</v>
      </c>
      <c r="AC174" s="4">
        <v>17</v>
      </c>
      <c r="AD174" s="4">
        <v>18</v>
      </c>
      <c r="AE174" s="4">
        <v>19</v>
      </c>
      <c r="AF174" s="4">
        <v>20</v>
      </c>
      <c r="AG174" s="4" t="s">
        <v>136</v>
      </c>
      <c r="AH174">
        <f t="shared" ref="AH174:BA174" si="22">L174</f>
        <v>0</v>
      </c>
      <c r="AI174">
        <f t="shared" si="22"/>
        <v>1</v>
      </c>
      <c r="AJ174">
        <f t="shared" si="22"/>
        <v>2</v>
      </c>
      <c r="AK174">
        <f t="shared" si="22"/>
        <v>3</v>
      </c>
      <c r="AL174">
        <f t="shared" si="22"/>
        <v>4</v>
      </c>
      <c r="AM174">
        <f t="shared" si="22"/>
        <v>5</v>
      </c>
      <c r="AN174">
        <f t="shared" si="22"/>
        <v>6</v>
      </c>
      <c r="AO174">
        <f t="shared" si="22"/>
        <v>7</v>
      </c>
      <c r="AP174">
        <f t="shared" si="22"/>
        <v>8</v>
      </c>
      <c r="AQ174">
        <f t="shared" si="22"/>
        <v>9</v>
      </c>
      <c r="AR174">
        <f t="shared" si="22"/>
        <v>10</v>
      </c>
      <c r="AS174">
        <f t="shared" si="22"/>
        <v>11</v>
      </c>
      <c r="AT174">
        <f t="shared" si="22"/>
        <v>12</v>
      </c>
      <c r="AU174">
        <f t="shared" si="22"/>
        <v>13</v>
      </c>
      <c r="AV174">
        <f t="shared" si="22"/>
        <v>14</v>
      </c>
      <c r="AW174">
        <f t="shared" si="22"/>
        <v>15</v>
      </c>
      <c r="AX174">
        <f t="shared" si="22"/>
        <v>16</v>
      </c>
      <c r="AY174">
        <f t="shared" si="22"/>
        <v>17</v>
      </c>
      <c r="AZ174">
        <f t="shared" si="22"/>
        <v>18</v>
      </c>
      <c r="BA174">
        <f t="shared" si="22"/>
        <v>19</v>
      </c>
      <c r="BB174">
        <f t="shared" ref="BB174" si="23">AF174</f>
        <v>20</v>
      </c>
      <c r="BC174" t="s">
        <v>136</v>
      </c>
    </row>
    <row r="175" spans="2:55" x14ac:dyDescent="0.25">
      <c r="F175" s="25" t="str">
        <f>F174&amp;" yr"</f>
        <v>3 yr</v>
      </c>
      <c r="G175" s="25" t="str">
        <f t="shared" ref="G175:K175" si="24">G174&amp;" yr"</f>
        <v>6 yr</v>
      </c>
      <c r="H175" s="25" t="str">
        <f t="shared" si="24"/>
        <v>9 yr</v>
      </c>
      <c r="I175" s="25" t="str">
        <f t="shared" si="24"/>
        <v>12 yr</v>
      </c>
      <c r="J175" s="25" t="str">
        <f t="shared" si="24"/>
        <v>15 yr</v>
      </c>
      <c r="K175" s="25" t="str">
        <f t="shared" si="24"/>
        <v>18 yr</v>
      </c>
      <c r="L175" s="4"/>
      <c r="M175" s="4"/>
      <c r="N175" s="4"/>
      <c r="O175" s="4"/>
      <c r="P175" s="4"/>
      <c r="Q175" s="4"/>
      <c r="R175" s="4"/>
      <c r="S175" s="4"/>
      <c r="T175" s="4"/>
      <c r="U175" s="4"/>
      <c r="V175" s="4"/>
      <c r="W175" s="4"/>
      <c r="X175" s="4"/>
      <c r="Y175" s="4"/>
      <c r="Z175" s="4"/>
      <c r="AA175" s="4"/>
      <c r="AB175" s="4"/>
      <c r="AC175" s="4"/>
      <c r="AD175" s="4"/>
      <c r="AE175" s="4"/>
      <c r="AF175" s="4"/>
      <c r="AG175" s="4"/>
    </row>
    <row r="176" spans="2:55" x14ac:dyDescent="0.25">
      <c r="B176" s="102">
        <v>0.1</v>
      </c>
      <c r="C176" s="102">
        <v>0</v>
      </c>
      <c r="D176" s="98" cm="1">
        <f t="array" ref="D176">SUM(IF($AH176:$BB176&gt;0,1))</f>
        <v>11</v>
      </c>
      <c r="E176" s="103" cm="1">
        <f t="array" ref="E176">$D176-INDEX($AH176:$BC176,$D176)/(INDEX($AH176:$BC176,$D176+1)-INDEX($AH176:$BC176,$D176))-1</f>
        <v>10.000000000000002</v>
      </c>
      <c r="F176" s="104">
        <f>IRR($L176:INDEX($L176:$AG176,F$174+1))</f>
        <v>-0.42441744383163083</v>
      </c>
      <c r="G176" s="104">
        <f>IRR($L176:INDEX($L176:$AG176,G$174+1))</f>
        <v>-0.12894923114876744</v>
      </c>
      <c r="H176" s="104">
        <f>IRR($L176:INDEX($L176:$AG176,H$174+1))</f>
        <v>-2.0569696650137526E-2</v>
      </c>
      <c r="I176" s="104">
        <f>IRR($L176:INDEX($L176:$AG176,I$174+1))</f>
        <v>2.9228540769161704E-2</v>
      </c>
      <c r="J176" s="104">
        <f>IRR($L176:INDEX($L176:$AG176,J$174+1))</f>
        <v>5.5564974703630643E-2</v>
      </c>
      <c r="K176" s="104">
        <f>IRR($L176:INDEX($L176:$AG176,K$174+1))</f>
        <v>7.0817602345301323E-2</v>
      </c>
      <c r="L176" s="100">
        <v>1</v>
      </c>
      <c r="M176" s="100">
        <f>-$B176</f>
        <v>-0.1</v>
      </c>
      <c r="N176" s="100">
        <f>M176*(1+$C176)</f>
        <v>-0.1</v>
      </c>
      <c r="O176" s="100">
        <f t="shared" ref="O176:AE176" si="25">N176*(1+$C176)</f>
        <v>-0.1</v>
      </c>
      <c r="P176" s="100">
        <f t="shared" si="25"/>
        <v>-0.1</v>
      </c>
      <c r="Q176" s="100">
        <f t="shared" si="25"/>
        <v>-0.1</v>
      </c>
      <c r="R176" s="100">
        <f t="shared" si="25"/>
        <v>-0.1</v>
      </c>
      <c r="S176" s="100">
        <f t="shared" si="25"/>
        <v>-0.1</v>
      </c>
      <c r="T176" s="100">
        <f t="shared" si="25"/>
        <v>-0.1</v>
      </c>
      <c r="U176" s="100">
        <f t="shared" si="25"/>
        <v>-0.1</v>
      </c>
      <c r="V176" s="100">
        <f t="shared" si="25"/>
        <v>-0.1</v>
      </c>
      <c r="W176" s="100">
        <f t="shared" si="25"/>
        <v>-0.1</v>
      </c>
      <c r="X176" s="100">
        <f t="shared" si="25"/>
        <v>-0.1</v>
      </c>
      <c r="Y176" s="100">
        <f t="shared" si="25"/>
        <v>-0.1</v>
      </c>
      <c r="Z176" s="100">
        <f t="shared" si="25"/>
        <v>-0.1</v>
      </c>
      <c r="AA176" s="100">
        <f t="shared" si="25"/>
        <v>-0.1</v>
      </c>
      <c r="AB176" s="100">
        <f t="shared" si="25"/>
        <v>-0.1</v>
      </c>
      <c r="AC176" s="100">
        <f t="shared" si="25"/>
        <v>-0.1</v>
      </c>
      <c r="AD176" s="100">
        <f t="shared" si="25"/>
        <v>-0.1</v>
      </c>
      <c r="AE176" s="100">
        <f t="shared" si="25"/>
        <v>-0.1</v>
      </c>
      <c r="AF176" s="100">
        <f t="shared" ref="AF176:AF181" si="26">AE176*(1+$C176)</f>
        <v>-0.1</v>
      </c>
      <c r="AG176" s="100" t="s">
        <v>136</v>
      </c>
      <c r="AH176" s="100">
        <f t="shared" ref="AH176:AH181" si="27">L176</f>
        <v>1</v>
      </c>
      <c r="AI176" s="100">
        <f t="shared" ref="AI176:AR181" si="28">SUM(AH176,M176)</f>
        <v>0.9</v>
      </c>
      <c r="AJ176" s="100">
        <f t="shared" si="28"/>
        <v>0.8</v>
      </c>
      <c r="AK176" s="100">
        <f t="shared" si="28"/>
        <v>0.70000000000000007</v>
      </c>
      <c r="AL176" s="100">
        <f t="shared" si="28"/>
        <v>0.60000000000000009</v>
      </c>
      <c r="AM176" s="100">
        <f t="shared" si="28"/>
        <v>0.50000000000000011</v>
      </c>
      <c r="AN176" s="100">
        <f t="shared" si="28"/>
        <v>0.40000000000000013</v>
      </c>
      <c r="AO176" s="100">
        <f t="shared" si="28"/>
        <v>0.30000000000000016</v>
      </c>
      <c r="AP176" s="100">
        <f t="shared" si="28"/>
        <v>0.20000000000000015</v>
      </c>
      <c r="AQ176" s="100">
        <f t="shared" si="28"/>
        <v>0.10000000000000014</v>
      </c>
      <c r="AR176" s="100">
        <f t="shared" si="28"/>
        <v>1.3877787807814457E-16</v>
      </c>
      <c r="AS176" s="100">
        <f t="shared" ref="AS176:BA181" si="29">SUM(AR176,W176)</f>
        <v>-9.9999999999999867E-2</v>
      </c>
      <c r="AT176" s="100">
        <f t="shared" si="29"/>
        <v>-0.19999999999999987</v>
      </c>
      <c r="AU176" s="100">
        <f t="shared" si="29"/>
        <v>-0.29999999999999988</v>
      </c>
      <c r="AV176" s="100">
        <f t="shared" si="29"/>
        <v>-0.39999999999999991</v>
      </c>
      <c r="AW176" s="100">
        <f t="shared" si="29"/>
        <v>-0.49999999999999989</v>
      </c>
      <c r="AX176" s="100">
        <f t="shared" si="29"/>
        <v>-0.59999999999999987</v>
      </c>
      <c r="AY176" s="100">
        <f t="shared" si="29"/>
        <v>-0.69999999999999984</v>
      </c>
      <c r="AZ176" s="100">
        <f t="shared" si="29"/>
        <v>-0.79999999999999982</v>
      </c>
      <c r="BA176" s="100">
        <f t="shared" si="29"/>
        <v>-0.8999999999999998</v>
      </c>
      <c r="BB176" s="100">
        <f t="shared" ref="BB176" si="30">SUM(BA176,AF176)</f>
        <v>-0.99999999999999978</v>
      </c>
      <c r="BC176" s="100" t="s">
        <v>136</v>
      </c>
    </row>
    <row r="177" spans="2:55" x14ac:dyDescent="0.25">
      <c r="B177" s="102">
        <v>0.15</v>
      </c>
      <c r="C177" s="105">
        <f t="shared" ref="C177:C181" si="31">C176</f>
        <v>0</v>
      </c>
      <c r="D177" s="98" cm="1">
        <f t="array" ref="D177">SUM(IF($AH177:$BB177&gt;0,1))</f>
        <v>7</v>
      </c>
      <c r="E177" s="103" cm="1">
        <f t="array" ref="E177">$D177-INDEX($AH177:$BC177,$D177)/(INDEX($AH177:$BC177,$D177+1)-INDEX($AH177:$BC177,$D177))-1</f>
        <v>6.6666666666666661</v>
      </c>
      <c r="F177" s="104">
        <f>IRR($L177:INDEX($L177:$AG177,F$174+1))</f>
        <v>-0.31337518335359105</v>
      </c>
      <c r="G177" s="104">
        <f>IRR($L177:INDEX($L177:$AG177,G$174+1))</f>
        <v>-2.9296980699239694E-2</v>
      </c>
      <c r="H177" s="104">
        <f>IRR($L177:INDEX($L177:$AG177,H$174+1))</f>
        <v>6.4631639639261218E-2</v>
      </c>
      <c r="I177" s="104">
        <f>IRR($L177:INDEX($L177:$AG177,I$174+1))</f>
        <v>0.10448109218516977</v>
      </c>
      <c r="J177" s="104">
        <f>IRR($L177:INDEX($L177:$AG177,J$174+1))</f>
        <v>0.12403450452822384</v>
      </c>
      <c r="K177" s="104">
        <f>IRR($L177:INDEX($L177:$AG177,K$174+1))</f>
        <v>0.13453409556652773</v>
      </c>
      <c r="L177" s="100">
        <v>1</v>
      </c>
      <c r="M177" s="100">
        <f t="shared" ref="M177:M181" si="32">-$B177</f>
        <v>-0.15</v>
      </c>
      <c r="N177" s="100">
        <f t="shared" ref="N177:AE179" si="33">M177*(1+$C177)</f>
        <v>-0.15</v>
      </c>
      <c r="O177" s="100">
        <f t="shared" si="33"/>
        <v>-0.15</v>
      </c>
      <c r="P177" s="100">
        <f t="shared" si="33"/>
        <v>-0.15</v>
      </c>
      <c r="Q177" s="100">
        <f t="shared" si="33"/>
        <v>-0.15</v>
      </c>
      <c r="R177" s="100">
        <f t="shared" si="33"/>
        <v>-0.15</v>
      </c>
      <c r="S177" s="100">
        <f t="shared" si="33"/>
        <v>-0.15</v>
      </c>
      <c r="T177" s="100">
        <f t="shared" si="33"/>
        <v>-0.15</v>
      </c>
      <c r="U177" s="100">
        <f t="shared" si="33"/>
        <v>-0.15</v>
      </c>
      <c r="V177" s="100">
        <f t="shared" si="33"/>
        <v>-0.15</v>
      </c>
      <c r="W177" s="100">
        <f t="shared" si="33"/>
        <v>-0.15</v>
      </c>
      <c r="X177" s="100">
        <f t="shared" si="33"/>
        <v>-0.15</v>
      </c>
      <c r="Y177" s="100">
        <f t="shared" si="33"/>
        <v>-0.15</v>
      </c>
      <c r="Z177" s="100">
        <f t="shared" si="33"/>
        <v>-0.15</v>
      </c>
      <c r="AA177" s="100">
        <f t="shared" si="33"/>
        <v>-0.15</v>
      </c>
      <c r="AB177" s="100">
        <f t="shared" si="33"/>
        <v>-0.15</v>
      </c>
      <c r="AC177" s="100">
        <f t="shared" si="33"/>
        <v>-0.15</v>
      </c>
      <c r="AD177" s="100">
        <f t="shared" si="33"/>
        <v>-0.15</v>
      </c>
      <c r="AE177" s="100">
        <f t="shared" si="33"/>
        <v>-0.15</v>
      </c>
      <c r="AF177" s="100">
        <f t="shared" si="26"/>
        <v>-0.15</v>
      </c>
      <c r="AG177" s="100" t="s">
        <v>136</v>
      </c>
      <c r="AH177" s="100">
        <f t="shared" si="27"/>
        <v>1</v>
      </c>
      <c r="AI177" s="100">
        <f t="shared" si="28"/>
        <v>0.85</v>
      </c>
      <c r="AJ177" s="100">
        <f t="shared" si="28"/>
        <v>0.7</v>
      </c>
      <c r="AK177" s="100">
        <f t="shared" si="28"/>
        <v>0.54999999999999993</v>
      </c>
      <c r="AL177" s="100">
        <f t="shared" si="28"/>
        <v>0.39999999999999991</v>
      </c>
      <c r="AM177" s="100">
        <f t="shared" si="28"/>
        <v>0.24999999999999992</v>
      </c>
      <c r="AN177" s="100">
        <f t="shared" si="28"/>
        <v>9.9999999999999922E-2</v>
      </c>
      <c r="AO177" s="100">
        <f t="shared" si="28"/>
        <v>-5.0000000000000072E-2</v>
      </c>
      <c r="AP177" s="100">
        <f t="shared" si="28"/>
        <v>-0.20000000000000007</v>
      </c>
      <c r="AQ177" s="100">
        <f t="shared" si="28"/>
        <v>-0.35000000000000009</v>
      </c>
      <c r="AR177" s="100">
        <f t="shared" si="28"/>
        <v>-0.50000000000000011</v>
      </c>
      <c r="AS177" s="100">
        <f t="shared" si="29"/>
        <v>-0.65000000000000013</v>
      </c>
      <c r="AT177" s="100">
        <f t="shared" si="29"/>
        <v>-0.80000000000000016</v>
      </c>
      <c r="AU177" s="100">
        <f t="shared" si="29"/>
        <v>-0.95000000000000018</v>
      </c>
      <c r="AV177" s="100">
        <f t="shared" si="29"/>
        <v>-1.1000000000000001</v>
      </c>
      <c r="AW177" s="100">
        <f t="shared" si="29"/>
        <v>-1.25</v>
      </c>
      <c r="AX177" s="100">
        <f t="shared" si="29"/>
        <v>-1.4</v>
      </c>
      <c r="AY177" s="100">
        <f t="shared" si="29"/>
        <v>-1.5499999999999998</v>
      </c>
      <c r="AZ177" s="100">
        <f t="shared" si="29"/>
        <v>-1.6999999999999997</v>
      </c>
      <c r="BA177" s="100">
        <f t="shared" si="29"/>
        <v>-1.8499999999999996</v>
      </c>
      <c r="BB177" s="100">
        <f t="shared" ref="BB177:BB179" si="34">SUM(BA177,AF177)</f>
        <v>-1.9999999999999996</v>
      </c>
      <c r="BC177" s="100" t="s">
        <v>136</v>
      </c>
    </row>
    <row r="178" spans="2:55" x14ac:dyDescent="0.25">
      <c r="B178" s="102">
        <v>0.2</v>
      </c>
      <c r="C178" s="105">
        <f t="shared" si="31"/>
        <v>0</v>
      </c>
      <c r="D178" s="98" cm="1">
        <f t="array" ref="D178">SUM(IF($AH178:$BB178&gt;0,1))</f>
        <v>5</v>
      </c>
      <c r="E178" s="103" cm="1">
        <f t="array" ref="E178">$D178-INDEX($AH178:$BC178,$D178)/(INDEX($AH178:$BC178,$D178+1)-INDEX($AH178:$BC178,$D178))-1</f>
        <v>5</v>
      </c>
      <c r="F178" s="104">
        <f>IRR($L178:INDEX($L178:$AG178,F$174+1))</f>
        <v>-0.21762721730729928</v>
      </c>
      <c r="G178" s="104">
        <f>IRR($L178:INDEX($L178:$AG178,G$174+1))</f>
        <v>5.4717925023537228E-2</v>
      </c>
      <c r="H178" s="104">
        <f>IRR($L178:INDEX($L178:$AG178,H$174+1))</f>
        <v>0.13704474216582518</v>
      </c>
      <c r="I178" s="104">
        <f>IRR($L178:INDEX($L178:$AG178,I$174+1))</f>
        <v>0.16942550857963279</v>
      </c>
      <c r="J178" s="104">
        <f>IRR($L178:INDEX($L178:$AG178,J$174+1))</f>
        <v>0.18415456837509203</v>
      </c>
      <c r="K178" s="104">
        <f>IRR($L178:INDEX($L178:$AG178,K$174+1))</f>
        <v>0.1914567996034422</v>
      </c>
      <c r="L178" s="100">
        <v>1</v>
      </c>
      <c r="M178" s="100">
        <f t="shared" si="32"/>
        <v>-0.2</v>
      </c>
      <c r="N178" s="100">
        <f t="shared" si="33"/>
        <v>-0.2</v>
      </c>
      <c r="O178" s="100">
        <f t="shared" si="33"/>
        <v>-0.2</v>
      </c>
      <c r="P178" s="100">
        <f t="shared" si="33"/>
        <v>-0.2</v>
      </c>
      <c r="Q178" s="100">
        <f t="shared" si="33"/>
        <v>-0.2</v>
      </c>
      <c r="R178" s="100">
        <f t="shared" si="33"/>
        <v>-0.2</v>
      </c>
      <c r="S178" s="100">
        <f t="shared" si="33"/>
        <v>-0.2</v>
      </c>
      <c r="T178" s="100">
        <f t="shared" si="33"/>
        <v>-0.2</v>
      </c>
      <c r="U178" s="100">
        <f t="shared" si="33"/>
        <v>-0.2</v>
      </c>
      <c r="V178" s="100">
        <f t="shared" si="33"/>
        <v>-0.2</v>
      </c>
      <c r="W178" s="100">
        <f t="shared" si="33"/>
        <v>-0.2</v>
      </c>
      <c r="X178" s="100">
        <f t="shared" si="33"/>
        <v>-0.2</v>
      </c>
      <c r="Y178" s="100">
        <f t="shared" si="33"/>
        <v>-0.2</v>
      </c>
      <c r="Z178" s="100">
        <f t="shared" si="33"/>
        <v>-0.2</v>
      </c>
      <c r="AA178" s="100">
        <f t="shared" si="33"/>
        <v>-0.2</v>
      </c>
      <c r="AB178" s="100">
        <f t="shared" si="33"/>
        <v>-0.2</v>
      </c>
      <c r="AC178" s="100">
        <f t="shared" si="33"/>
        <v>-0.2</v>
      </c>
      <c r="AD178" s="100">
        <f t="shared" si="33"/>
        <v>-0.2</v>
      </c>
      <c r="AE178" s="100">
        <f t="shared" si="33"/>
        <v>-0.2</v>
      </c>
      <c r="AF178" s="100">
        <f t="shared" si="26"/>
        <v>-0.2</v>
      </c>
      <c r="AG178" s="100" t="s">
        <v>136</v>
      </c>
      <c r="AH178" s="100">
        <f t="shared" si="27"/>
        <v>1</v>
      </c>
      <c r="AI178" s="100">
        <f t="shared" si="28"/>
        <v>0.8</v>
      </c>
      <c r="AJ178" s="100">
        <f t="shared" si="28"/>
        <v>0.60000000000000009</v>
      </c>
      <c r="AK178" s="100">
        <f t="shared" si="28"/>
        <v>0.40000000000000008</v>
      </c>
      <c r="AL178" s="100">
        <f t="shared" si="28"/>
        <v>0.20000000000000007</v>
      </c>
      <c r="AM178" s="100">
        <f t="shared" si="28"/>
        <v>0</v>
      </c>
      <c r="AN178" s="100">
        <f t="shared" si="28"/>
        <v>-0.2</v>
      </c>
      <c r="AO178" s="100">
        <f t="shared" si="28"/>
        <v>-0.4</v>
      </c>
      <c r="AP178" s="100">
        <f t="shared" si="28"/>
        <v>-0.60000000000000009</v>
      </c>
      <c r="AQ178" s="100">
        <f t="shared" si="28"/>
        <v>-0.8</v>
      </c>
      <c r="AR178" s="100">
        <f t="shared" si="28"/>
        <v>-1</v>
      </c>
      <c r="AS178" s="100">
        <f t="shared" si="29"/>
        <v>-1.2</v>
      </c>
      <c r="AT178" s="100">
        <f t="shared" si="29"/>
        <v>-1.4</v>
      </c>
      <c r="AU178" s="100">
        <f t="shared" si="29"/>
        <v>-1.5999999999999999</v>
      </c>
      <c r="AV178" s="100">
        <f t="shared" si="29"/>
        <v>-1.7999999999999998</v>
      </c>
      <c r="AW178" s="100">
        <f t="shared" si="29"/>
        <v>-1.9999999999999998</v>
      </c>
      <c r="AX178" s="100">
        <f t="shared" si="29"/>
        <v>-2.1999999999999997</v>
      </c>
      <c r="AY178" s="100">
        <f t="shared" si="29"/>
        <v>-2.4</v>
      </c>
      <c r="AZ178" s="100">
        <f t="shared" si="29"/>
        <v>-2.6</v>
      </c>
      <c r="BA178" s="100">
        <f t="shared" si="29"/>
        <v>-2.8000000000000003</v>
      </c>
      <c r="BB178" s="100">
        <f t="shared" si="34"/>
        <v>-3.0000000000000004</v>
      </c>
      <c r="BC178" s="100" t="s">
        <v>136</v>
      </c>
    </row>
    <row r="179" spans="2:55" x14ac:dyDescent="0.25">
      <c r="B179" s="102">
        <f>1/3</f>
        <v>0.33333333333333331</v>
      </c>
      <c r="C179" s="105">
        <f t="shared" si="31"/>
        <v>0</v>
      </c>
      <c r="D179" s="98" cm="1">
        <f t="array" ref="D179">SUM(IF($AH179:$BB179&gt;0,1))</f>
        <v>3</v>
      </c>
      <c r="E179" s="103" cm="1">
        <f t="array" ref="E179">$D179-INDEX($AH179:$BC179,$D179)/(INDEX($AH179:$BC179,$D179+1)-INDEX($AH179:$BC179,$D179))-1</f>
        <v>3</v>
      </c>
      <c r="F179" s="104">
        <f>IRR($L179:INDEX($L179:$AG179,F$174+1))</f>
        <v>4.4408920985006262E-16</v>
      </c>
      <c r="G179" s="104">
        <f>IRR($L179:INDEX($L179:$AG179,G$174+1))</f>
        <v>0.24292472610028781</v>
      </c>
      <c r="H179" s="104">
        <f>IRR($L179:INDEX($L179:$AG179,H$174+1))</f>
        <v>0.30242240773494822</v>
      </c>
      <c r="I179" s="104">
        <f>IRR($L179:INDEX($L179:$AG179,I$174+1))</f>
        <v>0.32159222651362929</v>
      </c>
      <c r="J179" s="104">
        <f>IRR($L179:INDEX($L179:$AG179,J$174+1))</f>
        <v>0.32863671801584804</v>
      </c>
      <c r="K179" s="104">
        <f>IRR($L179:INDEX($L179:$AG179,K$174+1))</f>
        <v>0.33140448324657834</v>
      </c>
      <c r="L179" s="100">
        <v>1</v>
      </c>
      <c r="M179" s="100">
        <f t="shared" si="32"/>
        <v>-0.33333333333333331</v>
      </c>
      <c r="N179" s="100">
        <f t="shared" si="33"/>
        <v>-0.33333333333333331</v>
      </c>
      <c r="O179" s="100">
        <f t="shared" si="33"/>
        <v>-0.33333333333333331</v>
      </c>
      <c r="P179" s="100">
        <f t="shared" si="33"/>
        <v>-0.33333333333333331</v>
      </c>
      <c r="Q179" s="100">
        <f t="shared" si="33"/>
        <v>-0.33333333333333331</v>
      </c>
      <c r="R179" s="100">
        <f t="shared" si="33"/>
        <v>-0.33333333333333331</v>
      </c>
      <c r="S179" s="100">
        <f t="shared" si="33"/>
        <v>-0.33333333333333331</v>
      </c>
      <c r="T179" s="100">
        <f t="shared" si="33"/>
        <v>-0.33333333333333331</v>
      </c>
      <c r="U179" s="100">
        <f t="shared" si="33"/>
        <v>-0.33333333333333331</v>
      </c>
      <c r="V179" s="100">
        <f t="shared" si="33"/>
        <v>-0.33333333333333331</v>
      </c>
      <c r="W179" s="100">
        <f t="shared" si="33"/>
        <v>-0.33333333333333331</v>
      </c>
      <c r="X179" s="100">
        <f t="shared" si="33"/>
        <v>-0.33333333333333331</v>
      </c>
      <c r="Y179" s="100">
        <f t="shared" si="33"/>
        <v>-0.33333333333333331</v>
      </c>
      <c r="Z179" s="100">
        <f t="shared" si="33"/>
        <v>-0.33333333333333331</v>
      </c>
      <c r="AA179" s="100">
        <f t="shared" si="33"/>
        <v>-0.33333333333333331</v>
      </c>
      <c r="AB179" s="100">
        <f t="shared" si="33"/>
        <v>-0.33333333333333331</v>
      </c>
      <c r="AC179" s="100">
        <f t="shared" si="33"/>
        <v>-0.33333333333333331</v>
      </c>
      <c r="AD179" s="100">
        <f t="shared" si="33"/>
        <v>-0.33333333333333331</v>
      </c>
      <c r="AE179" s="100">
        <f t="shared" si="33"/>
        <v>-0.33333333333333331</v>
      </c>
      <c r="AF179" s="100">
        <f t="shared" si="26"/>
        <v>-0.33333333333333331</v>
      </c>
      <c r="AG179" s="100" t="s">
        <v>136</v>
      </c>
      <c r="AH179" s="100">
        <f t="shared" si="27"/>
        <v>1</v>
      </c>
      <c r="AI179" s="100">
        <f t="shared" si="28"/>
        <v>0.66666666666666674</v>
      </c>
      <c r="AJ179" s="100">
        <f t="shared" si="28"/>
        <v>0.33333333333333343</v>
      </c>
      <c r="AK179" s="100">
        <f t="shared" si="28"/>
        <v>0</v>
      </c>
      <c r="AL179" s="100">
        <f t="shared" si="28"/>
        <v>-0.33333333333333331</v>
      </c>
      <c r="AM179" s="100">
        <f t="shared" si="28"/>
        <v>-0.66666666666666663</v>
      </c>
      <c r="AN179" s="100">
        <f t="shared" si="28"/>
        <v>-1</v>
      </c>
      <c r="AO179" s="100">
        <f t="shared" si="28"/>
        <v>-1.3333333333333333</v>
      </c>
      <c r="AP179" s="100">
        <f t="shared" si="28"/>
        <v>-1.6666666666666665</v>
      </c>
      <c r="AQ179" s="100">
        <f t="shared" si="28"/>
        <v>-1.9999999999999998</v>
      </c>
      <c r="AR179" s="100">
        <f t="shared" si="28"/>
        <v>-2.333333333333333</v>
      </c>
      <c r="AS179" s="100">
        <f t="shared" si="29"/>
        <v>-2.6666666666666665</v>
      </c>
      <c r="AT179" s="100">
        <f t="shared" si="29"/>
        <v>-3</v>
      </c>
      <c r="AU179" s="100">
        <f t="shared" si="29"/>
        <v>-3.3333333333333335</v>
      </c>
      <c r="AV179" s="100">
        <f t="shared" si="29"/>
        <v>-3.666666666666667</v>
      </c>
      <c r="AW179" s="100">
        <f t="shared" si="29"/>
        <v>-4</v>
      </c>
      <c r="AX179" s="100">
        <f t="shared" si="29"/>
        <v>-4.333333333333333</v>
      </c>
      <c r="AY179" s="100">
        <f t="shared" si="29"/>
        <v>-4.6666666666666661</v>
      </c>
      <c r="AZ179" s="100">
        <f t="shared" si="29"/>
        <v>-4.9999999999999991</v>
      </c>
      <c r="BA179" s="100">
        <f t="shared" si="29"/>
        <v>-5.3333333333333321</v>
      </c>
      <c r="BB179" s="100">
        <f t="shared" si="34"/>
        <v>-5.6666666666666652</v>
      </c>
      <c r="BC179" s="100" t="s">
        <v>136</v>
      </c>
    </row>
    <row r="180" spans="2:55" x14ac:dyDescent="0.25">
      <c r="B180" s="102">
        <v>0.4</v>
      </c>
      <c r="C180" s="105">
        <f t="shared" si="31"/>
        <v>0</v>
      </c>
      <c r="D180" s="98" cm="1">
        <f t="array" ref="D180">SUM(IF($AH180:$BB180&gt;0,1))</f>
        <v>3</v>
      </c>
      <c r="E180" s="103" cm="1">
        <f t="array" ref="E180">$D180-INDEX($AH180:$BC180,$D180)/(INDEX($AH180:$BC180,$D180+1)-INDEX($AH180:$BC180,$D180))-1</f>
        <v>2.5</v>
      </c>
      <c r="F180" s="104">
        <f>IRR($L180:INDEX($L180:$AG180,F$174+1))</f>
        <v>9.7010257403278954E-2</v>
      </c>
      <c r="G180" s="104">
        <f>IRR($L180:INDEX($L180:$AG180,G$174+1))</f>
        <v>0.32661923080512989</v>
      </c>
      <c r="H180" s="104">
        <f>IRR($L180:INDEX($L180:$AG180,H$174+1))</f>
        <v>0.37761789001519541</v>
      </c>
      <c r="I180" s="104">
        <f>IRR($L180:INDEX($L180:$AG180,I$174+1))</f>
        <v>0.39247306152752892</v>
      </c>
      <c r="J180" s="104">
        <f>IRR($L180:INDEX($L180:$AG180,J$174+1))</f>
        <v>0.39735479303617671</v>
      </c>
      <c r="K180" s="104">
        <f>IRR($L180:INDEX($L180:$AG180,K$174+1))</f>
        <v>0.39905146455720408</v>
      </c>
      <c r="L180" s="100">
        <v>1</v>
      </c>
      <c r="M180" s="100">
        <f t="shared" si="32"/>
        <v>-0.4</v>
      </c>
      <c r="N180" s="100">
        <f t="shared" ref="N180:N181" si="35">M180*(1+$C180)</f>
        <v>-0.4</v>
      </c>
      <c r="O180" s="100">
        <f t="shared" ref="O180:O181" si="36">N180*(1+$C180)</f>
        <v>-0.4</v>
      </c>
      <c r="P180" s="100">
        <f t="shared" ref="P180:P181" si="37">O180*(1+$C180)</f>
        <v>-0.4</v>
      </c>
      <c r="Q180" s="100">
        <f t="shared" ref="Q180:Q181" si="38">P180*(1+$C180)</f>
        <v>-0.4</v>
      </c>
      <c r="R180" s="100">
        <f t="shared" ref="R180:R181" si="39">Q180*(1+$C180)</f>
        <v>-0.4</v>
      </c>
      <c r="S180" s="100">
        <f t="shared" ref="S180:S181" si="40">R180*(1+$C180)</f>
        <v>-0.4</v>
      </c>
      <c r="T180" s="100">
        <f t="shared" ref="T180:T181" si="41">S180*(1+$C180)</f>
        <v>-0.4</v>
      </c>
      <c r="U180" s="100">
        <f t="shared" ref="U180:U181" si="42">T180*(1+$C180)</f>
        <v>-0.4</v>
      </c>
      <c r="V180" s="100">
        <f t="shared" ref="V180:V181" si="43">U180*(1+$C180)</f>
        <v>-0.4</v>
      </c>
      <c r="W180" s="100">
        <f t="shared" ref="W180:W181" si="44">V180*(1+$C180)</f>
        <v>-0.4</v>
      </c>
      <c r="X180" s="100">
        <f t="shared" ref="X180:X181" si="45">W180*(1+$C180)</f>
        <v>-0.4</v>
      </c>
      <c r="Y180" s="100">
        <f t="shared" ref="Y180:Y181" si="46">X180*(1+$C180)</f>
        <v>-0.4</v>
      </c>
      <c r="Z180" s="100">
        <f t="shared" ref="Z180:Z181" si="47">Y180*(1+$C180)</f>
        <v>-0.4</v>
      </c>
      <c r="AA180" s="100">
        <f t="shared" ref="AA180:AA181" si="48">Z180*(1+$C180)</f>
        <v>-0.4</v>
      </c>
      <c r="AB180" s="100">
        <f t="shared" ref="AB180:AB181" si="49">AA180*(1+$C180)</f>
        <v>-0.4</v>
      </c>
      <c r="AC180" s="100">
        <f t="shared" ref="AC180:AC181" si="50">AB180*(1+$C180)</f>
        <v>-0.4</v>
      </c>
      <c r="AD180" s="100">
        <f t="shared" ref="AD180:AD181" si="51">AC180*(1+$C180)</f>
        <v>-0.4</v>
      </c>
      <c r="AE180" s="100">
        <f t="shared" ref="AE180:AE181" si="52">AD180*(1+$C180)</f>
        <v>-0.4</v>
      </c>
      <c r="AF180" s="100">
        <f t="shared" si="26"/>
        <v>-0.4</v>
      </c>
      <c r="AG180" s="100" t="s">
        <v>136</v>
      </c>
      <c r="AH180" s="100">
        <f t="shared" si="27"/>
        <v>1</v>
      </c>
      <c r="AI180" s="100">
        <f t="shared" si="28"/>
        <v>0.6</v>
      </c>
      <c r="AJ180" s="100">
        <f t="shared" si="28"/>
        <v>0.19999999999999996</v>
      </c>
      <c r="AK180" s="100">
        <f t="shared" si="28"/>
        <v>-0.20000000000000007</v>
      </c>
      <c r="AL180" s="100">
        <f t="shared" si="28"/>
        <v>-0.60000000000000009</v>
      </c>
      <c r="AM180" s="100">
        <f t="shared" si="28"/>
        <v>-1</v>
      </c>
      <c r="AN180" s="100">
        <f t="shared" si="28"/>
        <v>-1.4</v>
      </c>
      <c r="AO180" s="100">
        <f t="shared" si="28"/>
        <v>-1.7999999999999998</v>
      </c>
      <c r="AP180" s="100">
        <f t="shared" si="28"/>
        <v>-2.1999999999999997</v>
      </c>
      <c r="AQ180" s="100">
        <f t="shared" si="28"/>
        <v>-2.5999999999999996</v>
      </c>
      <c r="AR180" s="100">
        <f t="shared" si="28"/>
        <v>-2.9999999999999996</v>
      </c>
      <c r="AS180" s="100">
        <f t="shared" si="29"/>
        <v>-3.3999999999999995</v>
      </c>
      <c r="AT180" s="100">
        <f t="shared" si="29"/>
        <v>-3.7999999999999994</v>
      </c>
      <c r="AU180" s="100">
        <f t="shared" si="29"/>
        <v>-4.1999999999999993</v>
      </c>
      <c r="AV180" s="100">
        <f t="shared" si="29"/>
        <v>-4.5999999999999996</v>
      </c>
      <c r="AW180" s="100">
        <f t="shared" si="29"/>
        <v>-5</v>
      </c>
      <c r="AX180" s="100">
        <f t="shared" si="29"/>
        <v>-5.4</v>
      </c>
      <c r="AY180" s="100">
        <f t="shared" si="29"/>
        <v>-5.8000000000000007</v>
      </c>
      <c r="AZ180" s="100">
        <f t="shared" si="29"/>
        <v>-6.2000000000000011</v>
      </c>
      <c r="BA180" s="100">
        <f t="shared" si="29"/>
        <v>-6.6000000000000014</v>
      </c>
      <c r="BB180" s="100">
        <f t="shared" ref="BB180:BB181" si="53">SUM(BA180,AF180)</f>
        <v>-7.0000000000000018</v>
      </c>
      <c r="BC180" s="100" t="s">
        <v>136</v>
      </c>
    </row>
    <row r="181" spans="2:55" x14ac:dyDescent="0.25">
      <c r="B181" s="102">
        <v>0.5</v>
      </c>
      <c r="C181" s="105">
        <f t="shared" si="31"/>
        <v>0</v>
      </c>
      <c r="D181" s="98" cm="1">
        <f t="array" ref="D181">SUM(IF($AH181:$BB181&gt;0,1))</f>
        <v>2</v>
      </c>
      <c r="E181" s="103" cm="1">
        <f t="array" ref="E181">$D181-INDEX($AH181:$BC181,$D181)/(INDEX($AH181:$BC181,$D181+1)-INDEX($AH181:$BC181,$D181))-1</f>
        <v>2</v>
      </c>
      <c r="F181" s="104">
        <f>IRR($L181:INDEX($L181:$AG181,F$174+1))</f>
        <v>0.23375192852825699</v>
      </c>
      <c r="G181" s="104">
        <f>IRR($L181:INDEX($L181:$AG181,G$174+1))</f>
        <v>0.44509832109163261</v>
      </c>
      <c r="H181" s="104">
        <f>IRR($L181:INDEX($L181:$AG181,H$174+1))</f>
        <v>0.48583435182836499</v>
      </c>
      <c r="I181" s="104">
        <f>IRR($L181:INDEX($L181:$AG181,I$174+1))</f>
        <v>0.49602153196757071</v>
      </c>
      <c r="J181" s="104">
        <f>IRR($L181:INDEX($L181:$AG181,J$174+1))</f>
        <v>0.49884489999180603</v>
      </c>
      <c r="K181" s="104">
        <f>IRR($L181:INDEX($L181:$AG181,K$174+1))</f>
        <v>0.49966029813641888</v>
      </c>
      <c r="L181" s="100">
        <v>1</v>
      </c>
      <c r="M181" s="100">
        <f t="shared" si="32"/>
        <v>-0.5</v>
      </c>
      <c r="N181" s="100">
        <f t="shared" si="35"/>
        <v>-0.5</v>
      </c>
      <c r="O181" s="100">
        <f t="shared" si="36"/>
        <v>-0.5</v>
      </c>
      <c r="P181" s="100">
        <f t="shared" si="37"/>
        <v>-0.5</v>
      </c>
      <c r="Q181" s="100">
        <f t="shared" si="38"/>
        <v>-0.5</v>
      </c>
      <c r="R181" s="100">
        <f t="shared" si="39"/>
        <v>-0.5</v>
      </c>
      <c r="S181" s="100">
        <f t="shared" si="40"/>
        <v>-0.5</v>
      </c>
      <c r="T181" s="100">
        <f t="shared" si="41"/>
        <v>-0.5</v>
      </c>
      <c r="U181" s="100">
        <f t="shared" si="42"/>
        <v>-0.5</v>
      </c>
      <c r="V181" s="100">
        <f t="shared" si="43"/>
        <v>-0.5</v>
      </c>
      <c r="W181" s="100">
        <f t="shared" si="44"/>
        <v>-0.5</v>
      </c>
      <c r="X181" s="100">
        <f t="shared" si="45"/>
        <v>-0.5</v>
      </c>
      <c r="Y181" s="100">
        <f t="shared" si="46"/>
        <v>-0.5</v>
      </c>
      <c r="Z181" s="100">
        <f t="shared" si="47"/>
        <v>-0.5</v>
      </c>
      <c r="AA181" s="100">
        <f t="shared" si="48"/>
        <v>-0.5</v>
      </c>
      <c r="AB181" s="100">
        <f t="shared" si="49"/>
        <v>-0.5</v>
      </c>
      <c r="AC181" s="100">
        <f t="shared" si="50"/>
        <v>-0.5</v>
      </c>
      <c r="AD181" s="100">
        <f t="shared" si="51"/>
        <v>-0.5</v>
      </c>
      <c r="AE181" s="100">
        <f t="shared" si="52"/>
        <v>-0.5</v>
      </c>
      <c r="AF181" s="100">
        <f t="shared" si="26"/>
        <v>-0.5</v>
      </c>
      <c r="AG181" s="100" t="s">
        <v>136</v>
      </c>
      <c r="AH181" s="100">
        <f t="shared" si="27"/>
        <v>1</v>
      </c>
      <c r="AI181" s="100">
        <f t="shared" si="28"/>
        <v>0.5</v>
      </c>
      <c r="AJ181" s="100">
        <f t="shared" si="28"/>
        <v>0</v>
      </c>
      <c r="AK181" s="100">
        <f t="shared" si="28"/>
        <v>-0.5</v>
      </c>
      <c r="AL181" s="100">
        <f t="shared" si="28"/>
        <v>-1</v>
      </c>
      <c r="AM181" s="100">
        <f t="shared" si="28"/>
        <v>-1.5</v>
      </c>
      <c r="AN181" s="100">
        <f t="shared" si="28"/>
        <v>-2</v>
      </c>
      <c r="AO181" s="100">
        <f t="shared" si="28"/>
        <v>-2.5</v>
      </c>
      <c r="AP181" s="100">
        <f t="shared" si="28"/>
        <v>-3</v>
      </c>
      <c r="AQ181" s="100">
        <f t="shared" si="28"/>
        <v>-3.5</v>
      </c>
      <c r="AR181" s="100">
        <f t="shared" si="28"/>
        <v>-4</v>
      </c>
      <c r="AS181" s="100">
        <f t="shared" si="29"/>
        <v>-4.5</v>
      </c>
      <c r="AT181" s="100">
        <f t="shared" si="29"/>
        <v>-5</v>
      </c>
      <c r="AU181" s="100">
        <f t="shared" si="29"/>
        <v>-5.5</v>
      </c>
      <c r="AV181" s="100">
        <f t="shared" si="29"/>
        <v>-6</v>
      </c>
      <c r="AW181" s="100">
        <f t="shared" si="29"/>
        <v>-6.5</v>
      </c>
      <c r="AX181" s="100">
        <f t="shared" si="29"/>
        <v>-7</v>
      </c>
      <c r="AY181" s="100">
        <f t="shared" si="29"/>
        <v>-7.5</v>
      </c>
      <c r="AZ181" s="100">
        <f t="shared" si="29"/>
        <v>-8</v>
      </c>
      <c r="BA181" s="100">
        <f t="shared" si="29"/>
        <v>-8.5</v>
      </c>
      <c r="BB181" s="100">
        <f t="shared" si="53"/>
        <v>-9</v>
      </c>
      <c r="BC181" s="100" t="s">
        <v>136</v>
      </c>
    </row>
    <row r="184" spans="2:55" x14ac:dyDescent="0.25">
      <c r="B184" s="2" t="s">
        <v>214</v>
      </c>
    </row>
    <row r="185" spans="2:55" x14ac:dyDescent="0.25">
      <c r="C185" t="s">
        <v>215</v>
      </c>
      <c r="D185" t="s">
        <v>216</v>
      </c>
      <c r="E185" t="s">
        <v>192</v>
      </c>
      <c r="F185" t="s">
        <v>217</v>
      </c>
    </row>
    <row r="186" spans="2:55" x14ac:dyDescent="0.25">
      <c r="C186" s="102">
        <v>0.01</v>
      </c>
      <c r="D186" s="102">
        <v>0.09</v>
      </c>
      <c r="E186" s="102">
        <v>0.02</v>
      </c>
      <c r="F186" s="102">
        <v>0.28000000000000003</v>
      </c>
    </row>
    <row r="188" spans="2:55" x14ac:dyDescent="0.25">
      <c r="C188" t="s">
        <v>218</v>
      </c>
      <c r="D188" t="s">
        <v>219</v>
      </c>
      <c r="E188" t="s">
        <v>220</v>
      </c>
      <c r="F188" t="s">
        <v>221</v>
      </c>
      <c r="G188" t="s">
        <v>222</v>
      </c>
      <c r="H188" t="s">
        <v>223</v>
      </c>
      <c r="I188" t="s">
        <v>224</v>
      </c>
      <c r="J188" t="s">
        <v>225</v>
      </c>
      <c r="K188" t="s">
        <v>226</v>
      </c>
    </row>
    <row r="189" spans="2:55" x14ac:dyDescent="0.25">
      <c r="B189" t="s">
        <v>227</v>
      </c>
      <c r="C189" s="4">
        <v>1.5</v>
      </c>
      <c r="D189" s="102">
        <v>0.14000000000000001</v>
      </c>
      <c r="E189" s="128">
        <v>0.08</v>
      </c>
      <c r="F189" s="104">
        <f>$C$186+C189*($D$186-$C$186)</f>
        <v>0.13</v>
      </c>
      <c r="G189" s="104">
        <f>F189/(1+$F$186)</f>
        <v>0.1015625</v>
      </c>
      <c r="H189" s="104">
        <f>$D189*$E189+(1-$D189)*F189</f>
        <v>0.123</v>
      </c>
      <c r="I189" s="101">
        <v>0.121</v>
      </c>
      <c r="J189" s="104">
        <f>$D189*$E189+(1-$D189)*G189</f>
        <v>9.8543749999999999E-2</v>
      </c>
      <c r="K189" s="104">
        <f>(1+J189)/(1+$E$186)-1</f>
        <v>7.7003676470588145E-2</v>
      </c>
    </row>
    <row r="190" spans="2:55" x14ac:dyDescent="0.25">
      <c r="B190" t="s">
        <v>228</v>
      </c>
      <c r="C190" s="4">
        <v>0.6</v>
      </c>
      <c r="D190" s="102">
        <v>0.37</v>
      </c>
      <c r="E190" s="128">
        <v>0.05</v>
      </c>
      <c r="F190" s="104">
        <f>$C$186+C190*($D$186-$C$186)</f>
        <v>5.8000000000000003E-2</v>
      </c>
      <c r="G190" s="104">
        <f>F190/(1+$F$186)</f>
        <v>4.5312499999999999E-2</v>
      </c>
      <c r="H190" s="104">
        <f>$D190*$E190+(1-$D190)*F190</f>
        <v>5.5040000000000006E-2</v>
      </c>
      <c r="I190" s="101">
        <v>5.3999999999999999E-2</v>
      </c>
      <c r="J190" s="104">
        <f>$D190*$E190+(1-$D190)*G190</f>
        <v>4.7046875000000002E-2</v>
      </c>
      <c r="K190" s="104">
        <f>(1+J190)/(1+$E$186)-1</f>
        <v>2.6516544117646923E-2</v>
      </c>
    </row>
    <row r="193" spans="2:17" x14ac:dyDescent="0.25">
      <c r="B193" s="2" t="s">
        <v>229</v>
      </c>
    </row>
    <row r="194" spans="2:17" ht="15.75" thickBot="1" x14ac:dyDescent="0.3">
      <c r="C194" t="s">
        <v>230</v>
      </c>
    </row>
    <row r="195" spans="2:17" ht="15.75" thickBot="1" x14ac:dyDescent="0.3">
      <c r="B195" t="s">
        <v>231</v>
      </c>
      <c r="C195" s="121">
        <v>0</v>
      </c>
      <c r="D195" s="122">
        <v>100</v>
      </c>
      <c r="E195" s="122">
        <v>500</v>
      </c>
      <c r="F195" s="122">
        <v>1000</v>
      </c>
      <c r="G195" s="122">
        <v>5000</v>
      </c>
      <c r="H195" s="122">
        <v>20000</v>
      </c>
      <c r="I195" s="122">
        <v>100000</v>
      </c>
      <c r="J195" s="111" t="s">
        <v>136</v>
      </c>
    </row>
    <row r="196" spans="2:17" ht="15.75" thickBot="1" x14ac:dyDescent="0.3">
      <c r="B196" s="115" t="s">
        <v>232</v>
      </c>
      <c r="C196" s="112">
        <v>-1</v>
      </c>
      <c r="D196" s="112">
        <v>-1</v>
      </c>
      <c r="E196" s="112">
        <v>-1</v>
      </c>
      <c r="F196" s="112">
        <v>-1</v>
      </c>
      <c r="G196" s="112">
        <v>-1</v>
      </c>
      <c r="H196" s="112">
        <v>-1</v>
      </c>
      <c r="I196" s="112">
        <v>-1</v>
      </c>
      <c r="J196" s="111" t="s">
        <v>136</v>
      </c>
    </row>
    <row r="197" spans="2:17" x14ac:dyDescent="0.25">
      <c r="B197" s="116" t="s">
        <v>232</v>
      </c>
      <c r="C197" s="102">
        <v>0.2</v>
      </c>
      <c r="D197" s="108">
        <f t="shared" ref="D197:I197" si="54">C197+D$201</f>
        <v>0.2</v>
      </c>
      <c r="E197" s="108">
        <f t="shared" si="54"/>
        <v>0.19</v>
      </c>
      <c r="F197" s="108">
        <f t="shared" si="54"/>
        <v>0.18</v>
      </c>
      <c r="G197" s="108">
        <f t="shared" si="54"/>
        <v>0.16999999999999998</v>
      </c>
      <c r="H197" s="108">
        <f t="shared" si="54"/>
        <v>0.15999999999999998</v>
      </c>
      <c r="I197" s="108">
        <f t="shared" si="54"/>
        <v>0.14999999999999997</v>
      </c>
      <c r="J197" t="s">
        <v>136</v>
      </c>
    </row>
    <row r="198" spans="2:17" ht="15.75" thickBot="1" x14ac:dyDescent="0.3">
      <c r="B198" s="124" t="s">
        <v>233</v>
      </c>
      <c r="C198" s="109">
        <f t="shared" ref="C198:I199" si="55">C197+$L198</f>
        <v>0.25</v>
      </c>
      <c r="D198" s="109">
        <f t="shared" si="55"/>
        <v>0.25</v>
      </c>
      <c r="E198" s="109">
        <f t="shared" si="55"/>
        <v>0.24</v>
      </c>
      <c r="F198" s="109">
        <f t="shared" si="55"/>
        <v>0.22999999999999998</v>
      </c>
      <c r="G198" s="109">
        <f t="shared" si="55"/>
        <v>0.21999999999999997</v>
      </c>
      <c r="H198" s="109">
        <f t="shared" si="55"/>
        <v>0.20999999999999996</v>
      </c>
      <c r="I198" s="110">
        <f t="shared" si="55"/>
        <v>0.19999999999999996</v>
      </c>
      <c r="J198" t="s">
        <v>136</v>
      </c>
      <c r="L198" s="102">
        <v>0.05</v>
      </c>
    </row>
    <row r="199" spans="2:17" ht="15.75" thickBot="1" x14ac:dyDescent="0.3">
      <c r="B199" s="125" t="str">
        <f>"The projected financial performance including GIDI funding is at a level which is deemed likely to be over-subsidising your company.  "&amp;$B$202</f>
        <v>The projected financial performance including GIDI funding is at a level which is deemed likely to be over-subsidising your company.  Unless you can explain in the Reponse Form why this is an appropriate and acceptable level for taxpayer-funded government support (Eg, public good, additionality), this project will not receive GIDI funding.  Please consider whether your project can proceed with a lower level of GIDI funding.</v>
      </c>
      <c r="C199" s="113">
        <f t="shared" si="55"/>
        <v>0.33</v>
      </c>
      <c r="D199" s="113">
        <f t="shared" si="55"/>
        <v>0.33</v>
      </c>
      <c r="E199" s="113">
        <f t="shared" si="55"/>
        <v>0.32</v>
      </c>
      <c r="F199" s="113">
        <f t="shared" si="55"/>
        <v>0.31</v>
      </c>
      <c r="G199" s="113">
        <f t="shared" si="55"/>
        <v>0.3</v>
      </c>
      <c r="H199" s="113">
        <f t="shared" si="55"/>
        <v>0.28999999999999998</v>
      </c>
      <c r="I199" s="114">
        <f t="shared" si="55"/>
        <v>0.27999999999999997</v>
      </c>
      <c r="J199" s="111" t="s">
        <v>136</v>
      </c>
      <c r="L199" s="102">
        <v>0.08</v>
      </c>
    </row>
    <row r="200" spans="2:17" x14ac:dyDescent="0.25">
      <c r="B200" t="s">
        <v>234</v>
      </c>
      <c r="C200" t="s">
        <v>234</v>
      </c>
      <c r="D200" t="s">
        <v>234</v>
      </c>
      <c r="E200" t="s">
        <v>234</v>
      </c>
      <c r="F200" t="s">
        <v>234</v>
      </c>
      <c r="G200" t="s">
        <v>234</v>
      </c>
      <c r="H200" t="s">
        <v>234</v>
      </c>
      <c r="I200" t="s">
        <v>234</v>
      </c>
      <c r="J200" t="s">
        <v>234</v>
      </c>
    </row>
    <row r="201" spans="2:17" x14ac:dyDescent="0.25">
      <c r="D201" s="102">
        <v>0</v>
      </c>
      <c r="E201" s="102">
        <v>-0.01</v>
      </c>
      <c r="F201" s="102">
        <v>-0.01</v>
      </c>
      <c r="G201" s="102">
        <v>-0.01</v>
      </c>
      <c r="H201" s="102">
        <v>-0.01</v>
      </c>
      <c r="I201" s="102">
        <v>-0.01</v>
      </c>
    </row>
    <row r="202" spans="2:17" x14ac:dyDescent="0.25">
      <c r="B202" s="4" t="s">
        <v>235</v>
      </c>
    </row>
    <row r="204" spans="2:17" x14ac:dyDescent="0.25">
      <c r="B204" t="s">
        <v>236</v>
      </c>
      <c r="C204" s="123">
        <v>2</v>
      </c>
    </row>
    <row r="205" spans="2:17" x14ac:dyDescent="0.25">
      <c r="C205" s="126" t="str">
        <f>"Your projected project payback after receipt of GIDI funding is lower than the threshold deemed acceptable for government support.  "&amp;$B$202</f>
        <v>Your projected project payback after receipt of GIDI funding is lower than the threshold deemed acceptable for government support.  Unless you can explain in the Reponse Form why this is an appropriate and acceptable level for taxpayer-funded government support (Eg, public good, additionality), this project will not receive GIDI funding.  Please consider whether your project can proceed with a lower level of GIDI funding.</v>
      </c>
    </row>
    <row r="208" spans="2:17" x14ac:dyDescent="0.25">
      <c r="B208" s="168" t="s">
        <v>237</v>
      </c>
      <c r="C208" s="167"/>
      <c r="D208" s="167"/>
      <c r="E208" s="167"/>
      <c r="F208" s="167"/>
      <c r="G208" s="167"/>
      <c r="H208" s="167"/>
      <c r="I208" s="167"/>
      <c r="J208" s="167"/>
      <c r="K208" s="167"/>
      <c r="L208" s="167"/>
      <c r="M208" s="167"/>
      <c r="N208" s="167"/>
      <c r="O208" s="167"/>
      <c r="P208" s="167"/>
      <c r="Q208" s="167"/>
    </row>
    <row r="210" spans="2:15" x14ac:dyDescent="0.25">
      <c r="B210" s="3" t="s">
        <v>74</v>
      </c>
    </row>
    <row r="211" spans="2:15" x14ac:dyDescent="0.25">
      <c r="K211" s="163" t="s">
        <v>74</v>
      </c>
      <c r="L211" s="163"/>
      <c r="N211" s="164" t="s">
        <v>238</v>
      </c>
      <c r="O211" s="63">
        <v>-0.25</v>
      </c>
    </row>
    <row r="212" spans="2:15" x14ac:dyDescent="0.25">
      <c r="K212" s="165" t="s">
        <v>239</v>
      </c>
      <c r="L212" s="165" t="s">
        <v>240</v>
      </c>
      <c r="M212" t="s">
        <v>241</v>
      </c>
      <c r="N212" s="164" t="s">
        <v>242</v>
      </c>
      <c r="O212" s="63">
        <v>12.5</v>
      </c>
    </row>
    <row r="213" spans="2:15" x14ac:dyDescent="0.25">
      <c r="K213">
        <v>50</v>
      </c>
      <c r="L213">
        <v>0</v>
      </c>
      <c r="M213" s="169">
        <f t="shared" ref="M213:M223" si="56">AssCr_CoFund_a*$K213+AssCr_CoFund_b</f>
        <v>0</v>
      </c>
    </row>
    <row r="214" spans="2:15" x14ac:dyDescent="0.25">
      <c r="K214">
        <v>46</v>
      </c>
      <c r="L214">
        <v>1</v>
      </c>
      <c r="M214" s="169">
        <f t="shared" si="56"/>
        <v>1</v>
      </c>
    </row>
    <row r="215" spans="2:15" x14ac:dyDescent="0.25">
      <c r="K215">
        <v>42</v>
      </c>
      <c r="L215">
        <v>2</v>
      </c>
      <c r="M215" s="169">
        <f t="shared" si="56"/>
        <v>2</v>
      </c>
    </row>
    <row r="216" spans="2:15" x14ac:dyDescent="0.25">
      <c r="K216">
        <v>38</v>
      </c>
      <c r="L216">
        <v>3</v>
      </c>
      <c r="M216" s="169">
        <f t="shared" si="56"/>
        <v>3</v>
      </c>
    </row>
    <row r="217" spans="2:15" x14ac:dyDescent="0.25">
      <c r="K217">
        <v>34</v>
      </c>
      <c r="L217">
        <v>4</v>
      </c>
      <c r="M217" s="169">
        <f t="shared" si="56"/>
        <v>4</v>
      </c>
    </row>
    <row r="218" spans="2:15" x14ac:dyDescent="0.25">
      <c r="K218">
        <v>30</v>
      </c>
      <c r="L218">
        <v>5</v>
      </c>
      <c r="M218" s="169">
        <f t="shared" si="56"/>
        <v>5</v>
      </c>
    </row>
    <row r="219" spans="2:15" x14ac:dyDescent="0.25">
      <c r="K219">
        <v>26</v>
      </c>
      <c r="L219">
        <v>6</v>
      </c>
      <c r="M219" s="169">
        <f t="shared" si="56"/>
        <v>6</v>
      </c>
    </row>
    <row r="220" spans="2:15" x14ac:dyDescent="0.25">
      <c r="K220">
        <v>22</v>
      </c>
      <c r="L220">
        <v>7</v>
      </c>
      <c r="M220" s="169">
        <f t="shared" si="56"/>
        <v>7</v>
      </c>
    </row>
    <row r="221" spans="2:15" x14ac:dyDescent="0.25">
      <c r="K221">
        <v>18</v>
      </c>
      <c r="L221">
        <v>8</v>
      </c>
      <c r="M221" s="169">
        <f t="shared" si="56"/>
        <v>8</v>
      </c>
    </row>
    <row r="222" spans="2:15" x14ac:dyDescent="0.25">
      <c r="K222">
        <v>14</v>
      </c>
      <c r="L222">
        <v>9</v>
      </c>
      <c r="M222" s="169">
        <f t="shared" si="56"/>
        <v>9</v>
      </c>
    </row>
    <row r="223" spans="2:15" x14ac:dyDescent="0.25">
      <c r="K223">
        <v>10</v>
      </c>
      <c r="L223">
        <v>10</v>
      </c>
      <c r="M223" s="169">
        <f t="shared" si="56"/>
        <v>10</v>
      </c>
    </row>
    <row r="226" spans="2:32" x14ac:dyDescent="0.25">
      <c r="B226" s="3" t="s">
        <v>75</v>
      </c>
      <c r="K226" t="s">
        <v>119</v>
      </c>
      <c r="O226" s="164" t="s">
        <v>238</v>
      </c>
      <c r="P226" s="63">
        <f>-0.0556</f>
        <v>-5.5599999999999997E-2</v>
      </c>
    </row>
    <row r="227" spans="2:32" x14ac:dyDescent="0.25">
      <c r="K227" t="s">
        <v>243</v>
      </c>
      <c r="L227" t="s">
        <v>244</v>
      </c>
      <c r="M227" t="s">
        <v>241</v>
      </c>
      <c r="N227" t="s">
        <v>245</v>
      </c>
      <c r="O227" s="164" t="s">
        <v>242</v>
      </c>
      <c r="P227" s="63">
        <v>0.83330000000000004</v>
      </c>
    </row>
    <row r="228" spans="2:32" x14ac:dyDescent="0.25">
      <c r="K228">
        <v>0</v>
      </c>
      <c r="L228">
        <v>0</v>
      </c>
      <c r="M228" s="169">
        <f t="shared" ref="M228:M238" si="57">AssCr_PayB_a*$K228^3+AssCr_PayB_b*$K228^2+AssCr_PayB_c*$K228+AssCr_PayB_d</f>
        <v>1.0713999999999999</v>
      </c>
      <c r="O228" s="164" t="s">
        <v>246</v>
      </c>
      <c r="P228" s="63">
        <v>-1.9921</v>
      </c>
      <c r="Q228">
        <v>0</v>
      </c>
      <c r="R228">
        <v>1</v>
      </c>
      <c r="S228">
        <v>2</v>
      </c>
      <c r="T228">
        <v>3</v>
      </c>
      <c r="U228">
        <v>4</v>
      </c>
      <c r="V228">
        <v>5</v>
      </c>
      <c r="W228">
        <v>6</v>
      </c>
      <c r="X228">
        <v>7</v>
      </c>
      <c r="Y228">
        <v>8</v>
      </c>
      <c r="Z228">
        <v>9</v>
      </c>
      <c r="AA228">
        <v>10</v>
      </c>
      <c r="AB228">
        <v>12</v>
      </c>
      <c r="AC228">
        <v>14</v>
      </c>
      <c r="AD228">
        <v>16</v>
      </c>
      <c r="AE228">
        <v>18</v>
      </c>
      <c r="AF228">
        <v>20</v>
      </c>
    </row>
    <row r="229" spans="2:32" x14ac:dyDescent="0.25">
      <c r="K229">
        <v>1</v>
      </c>
      <c r="L229">
        <v>0</v>
      </c>
      <c r="M229" s="169">
        <f t="shared" si="57"/>
        <v>-0.14300000000000002</v>
      </c>
      <c r="O229" s="164" t="s">
        <v>247</v>
      </c>
      <c r="P229" s="63">
        <v>1.0713999999999999</v>
      </c>
      <c r="Q229">
        <v>0</v>
      </c>
      <c r="R229">
        <v>0</v>
      </c>
      <c r="S229">
        <v>0</v>
      </c>
      <c r="T229">
        <v>1</v>
      </c>
      <c r="U229">
        <v>3</v>
      </c>
      <c r="V229">
        <v>5</v>
      </c>
      <c r="W229">
        <v>7</v>
      </c>
      <c r="X229">
        <v>9</v>
      </c>
      <c r="Y229">
        <v>10</v>
      </c>
      <c r="Z229">
        <v>10</v>
      </c>
      <c r="AA229">
        <v>10</v>
      </c>
    </row>
    <row r="230" spans="2:32" x14ac:dyDescent="0.25">
      <c r="K230">
        <v>2</v>
      </c>
      <c r="L230">
        <v>0</v>
      </c>
      <c r="M230" s="169">
        <f t="shared" si="57"/>
        <v>-2.4399999999999755E-2</v>
      </c>
      <c r="Q230" s="23">
        <f t="shared" ref="Q230:AE230" si="58">AssCr_PayB_a*Q$228^3+AssCr_PayB_b*Q$228^2+AssCr_PayB_c*Q$228+AssCr_PayB_d</f>
        <v>1.0713999999999999</v>
      </c>
      <c r="R230" s="23">
        <f t="shared" si="58"/>
        <v>-0.14300000000000002</v>
      </c>
      <c r="S230" s="23">
        <f t="shared" si="58"/>
        <v>-2.4399999999999755E-2</v>
      </c>
      <c r="T230" s="23">
        <f t="shared" si="58"/>
        <v>1.0936000000000006</v>
      </c>
      <c r="U230" s="23">
        <f t="shared" si="58"/>
        <v>2.8773999999999997</v>
      </c>
      <c r="V230" s="23">
        <f t="shared" si="58"/>
        <v>4.9934000000000003</v>
      </c>
      <c r="W230" s="23">
        <f t="shared" si="58"/>
        <v>7.1080000000000032</v>
      </c>
      <c r="X230" s="23">
        <f t="shared" si="58"/>
        <v>8.8876000000000079</v>
      </c>
      <c r="Y230" s="23">
        <f t="shared" si="58"/>
        <v>9.998600000000005</v>
      </c>
      <c r="Z230" s="23">
        <f t="shared" si="58"/>
        <v>10.107400000000016</v>
      </c>
      <c r="AA230" s="23">
        <f t="shared" si="58"/>
        <v>8.8804000000000052</v>
      </c>
      <c r="AB230" s="23">
        <f t="shared" si="58"/>
        <v>1.0846000000000189</v>
      </c>
      <c r="AC230" s="23">
        <f t="shared" si="58"/>
        <v>-16.057599999999965</v>
      </c>
      <c r="AD230" s="23">
        <f t="shared" si="58"/>
        <v>-45.214999999999975</v>
      </c>
      <c r="AE230" s="23">
        <f t="shared" si="58"/>
        <v>-89.056399999999925</v>
      </c>
      <c r="AF230" s="23">
        <f t="shared" ref="AF230" si="59">AssCr_PayB_a*AF$228^3+AssCr_PayB_b*AF$228^2+AssCr_PayB_c*AF$228+AssCr_PayB_d</f>
        <v>-150.25059999999993</v>
      </c>
    </row>
    <row r="231" spans="2:32" x14ac:dyDescent="0.25">
      <c r="K231">
        <v>3</v>
      </c>
      <c r="L231">
        <v>1</v>
      </c>
      <c r="M231" s="169">
        <f t="shared" si="57"/>
        <v>1.0936000000000006</v>
      </c>
    </row>
    <row r="232" spans="2:32" x14ac:dyDescent="0.25">
      <c r="K232">
        <v>4</v>
      </c>
      <c r="L232">
        <v>3</v>
      </c>
      <c r="M232" s="169">
        <f t="shared" si="57"/>
        <v>2.8773999999999997</v>
      </c>
    </row>
    <row r="233" spans="2:32" x14ac:dyDescent="0.25">
      <c r="K233">
        <v>5</v>
      </c>
      <c r="L233">
        <v>5</v>
      </c>
      <c r="M233" s="169">
        <f t="shared" si="57"/>
        <v>4.9934000000000003</v>
      </c>
    </row>
    <row r="234" spans="2:32" x14ac:dyDescent="0.25">
      <c r="K234">
        <v>6</v>
      </c>
      <c r="L234">
        <v>7</v>
      </c>
      <c r="M234" s="169">
        <f t="shared" si="57"/>
        <v>7.1080000000000032</v>
      </c>
    </row>
    <row r="235" spans="2:32" x14ac:dyDescent="0.25">
      <c r="K235">
        <v>7</v>
      </c>
      <c r="L235">
        <v>9</v>
      </c>
      <c r="M235" s="169">
        <f t="shared" si="57"/>
        <v>8.8876000000000079</v>
      </c>
    </row>
    <row r="236" spans="2:32" x14ac:dyDescent="0.25">
      <c r="K236">
        <v>8</v>
      </c>
      <c r="L236">
        <v>10</v>
      </c>
      <c r="M236" s="169">
        <f t="shared" si="57"/>
        <v>9.998600000000005</v>
      </c>
    </row>
    <row r="237" spans="2:32" x14ac:dyDescent="0.25">
      <c r="K237">
        <v>9</v>
      </c>
      <c r="L237">
        <v>10</v>
      </c>
      <c r="M237" s="169">
        <f t="shared" si="57"/>
        <v>10.107400000000016</v>
      </c>
    </row>
    <row r="238" spans="2:32" x14ac:dyDescent="0.25">
      <c r="K238">
        <v>10</v>
      </c>
      <c r="L238">
        <v>10</v>
      </c>
      <c r="M238" s="169">
        <f t="shared" si="57"/>
        <v>8.8804000000000052</v>
      </c>
    </row>
    <row r="240" spans="2:32" x14ac:dyDescent="0.25">
      <c r="B240" s="3" t="s">
        <v>76</v>
      </c>
      <c r="K240" t="s">
        <v>248</v>
      </c>
      <c r="N240" s="164" t="s">
        <v>238</v>
      </c>
      <c r="O240" s="63">
        <v>-8.3299999999999999E-2</v>
      </c>
    </row>
    <row r="241" spans="11:15" x14ac:dyDescent="0.25">
      <c r="K241" t="s">
        <v>249</v>
      </c>
      <c r="L241" t="s">
        <v>244</v>
      </c>
      <c r="M241" t="s">
        <v>241</v>
      </c>
      <c r="N241" s="164" t="s">
        <v>242</v>
      </c>
      <c r="O241" s="63">
        <v>10.083</v>
      </c>
    </row>
    <row r="242" spans="11:15" x14ac:dyDescent="0.25">
      <c r="K242" s="166">
        <v>121</v>
      </c>
      <c r="L242">
        <v>0</v>
      </c>
      <c r="M242" s="172">
        <f t="shared" ref="M242:M252" si="60">AssCr_GIDI_MAC_a*$K242+AssCr_GIDI_MAC_b</f>
        <v>3.7000000000002586E-3</v>
      </c>
    </row>
    <row r="243" spans="11:15" x14ac:dyDescent="0.25">
      <c r="K243" s="166">
        <f>K242-12</f>
        <v>109</v>
      </c>
      <c r="L243">
        <v>1</v>
      </c>
      <c r="M243" s="172">
        <f t="shared" si="60"/>
        <v>1.0032999999999994</v>
      </c>
    </row>
    <row r="244" spans="11:15" x14ac:dyDescent="0.25">
      <c r="K244" s="166">
        <f t="shared" ref="K244:K251" si="61">K243-12</f>
        <v>97</v>
      </c>
      <c r="L244">
        <v>2</v>
      </c>
      <c r="M244" s="172">
        <f t="shared" si="60"/>
        <v>2.0029000000000003</v>
      </c>
    </row>
    <row r="245" spans="11:15" x14ac:dyDescent="0.25">
      <c r="K245" s="166">
        <f t="shared" si="61"/>
        <v>85</v>
      </c>
      <c r="L245">
        <v>3</v>
      </c>
      <c r="M245" s="172">
        <f t="shared" si="60"/>
        <v>3.0025000000000004</v>
      </c>
    </row>
    <row r="246" spans="11:15" x14ac:dyDescent="0.25">
      <c r="K246" s="166">
        <f t="shared" si="61"/>
        <v>73</v>
      </c>
      <c r="L246">
        <v>4</v>
      </c>
      <c r="M246" s="172">
        <f t="shared" si="60"/>
        <v>4.0021000000000004</v>
      </c>
    </row>
    <row r="247" spans="11:15" x14ac:dyDescent="0.25">
      <c r="K247" s="166">
        <f t="shared" si="61"/>
        <v>61</v>
      </c>
      <c r="L247">
        <v>5</v>
      </c>
      <c r="M247" s="172">
        <f t="shared" si="60"/>
        <v>5.0017000000000005</v>
      </c>
    </row>
    <row r="248" spans="11:15" x14ac:dyDescent="0.25">
      <c r="K248" s="166">
        <f t="shared" si="61"/>
        <v>49</v>
      </c>
      <c r="L248">
        <v>6</v>
      </c>
      <c r="M248" s="172">
        <f t="shared" si="60"/>
        <v>6.0013000000000005</v>
      </c>
    </row>
    <row r="249" spans="11:15" x14ac:dyDescent="0.25">
      <c r="K249" s="166">
        <f t="shared" si="61"/>
        <v>37</v>
      </c>
      <c r="L249">
        <v>7</v>
      </c>
      <c r="M249" s="172">
        <f t="shared" si="60"/>
        <v>7.0008999999999997</v>
      </c>
    </row>
    <row r="250" spans="11:15" x14ac:dyDescent="0.25">
      <c r="K250" s="166">
        <f t="shared" si="61"/>
        <v>25</v>
      </c>
      <c r="L250">
        <v>8</v>
      </c>
      <c r="M250" s="172">
        <f t="shared" si="60"/>
        <v>8.0005000000000006</v>
      </c>
    </row>
    <row r="251" spans="11:15" x14ac:dyDescent="0.25">
      <c r="K251" s="166">
        <f t="shared" si="61"/>
        <v>13</v>
      </c>
      <c r="L251">
        <v>9</v>
      </c>
      <c r="M251" s="172">
        <f t="shared" si="60"/>
        <v>9.0000999999999998</v>
      </c>
    </row>
    <row r="252" spans="11:15" x14ac:dyDescent="0.25">
      <c r="K252" s="166">
        <v>0.99664053751400228</v>
      </c>
      <c r="L252">
        <v>10</v>
      </c>
      <c r="M252" s="172">
        <f t="shared" si="60"/>
        <v>9.9999798432250842</v>
      </c>
    </row>
    <row r="256" spans="11:15" ht="15.75" thickBot="1" x14ac:dyDescent="0.3"/>
    <row r="257" spans="2:45" x14ac:dyDescent="0.25">
      <c r="B257" s="3" t="s">
        <v>77</v>
      </c>
      <c r="C257" s="174" t="s">
        <v>273</v>
      </c>
      <c r="D257" s="175">
        <f>DATEDIF(Submission_date, Commission_date, "m")</f>
        <v>0</v>
      </c>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6"/>
    </row>
    <row r="258" spans="2:45" x14ac:dyDescent="0.25">
      <c r="C258" s="177">
        <v>1</v>
      </c>
      <c r="D258">
        <v>2</v>
      </c>
      <c r="E258">
        <v>3</v>
      </c>
      <c r="F258">
        <v>4</v>
      </c>
      <c r="G258">
        <v>5</v>
      </c>
      <c r="H258">
        <v>6</v>
      </c>
      <c r="I258">
        <v>7</v>
      </c>
      <c r="J258">
        <v>8</v>
      </c>
      <c r="K258">
        <v>9</v>
      </c>
      <c r="L258">
        <v>10</v>
      </c>
      <c r="M258">
        <v>11</v>
      </c>
      <c r="N258">
        <v>12</v>
      </c>
      <c r="O258">
        <v>13</v>
      </c>
      <c r="P258">
        <v>14</v>
      </c>
      <c r="Q258">
        <v>15</v>
      </c>
      <c r="R258">
        <v>16</v>
      </c>
      <c r="S258">
        <v>17</v>
      </c>
      <c r="T258">
        <v>18</v>
      </c>
      <c r="U258">
        <v>19</v>
      </c>
      <c r="V258">
        <v>20</v>
      </c>
      <c r="W258">
        <v>21</v>
      </c>
      <c r="X258">
        <v>22</v>
      </c>
      <c r="Y258">
        <v>23</v>
      </c>
      <c r="Z258">
        <v>24</v>
      </c>
      <c r="AA258">
        <v>25</v>
      </c>
      <c r="AB258">
        <v>26</v>
      </c>
      <c r="AC258">
        <v>27</v>
      </c>
      <c r="AD258">
        <v>28</v>
      </c>
      <c r="AE258">
        <v>29</v>
      </c>
      <c r="AF258">
        <v>30</v>
      </c>
      <c r="AG258">
        <v>31</v>
      </c>
      <c r="AH258">
        <v>32</v>
      </c>
      <c r="AI258">
        <v>33</v>
      </c>
      <c r="AJ258">
        <v>34</v>
      </c>
      <c r="AK258">
        <v>35</v>
      </c>
      <c r="AL258">
        <v>36</v>
      </c>
      <c r="AM258">
        <v>37</v>
      </c>
      <c r="AN258">
        <v>38</v>
      </c>
      <c r="AO258">
        <v>39</v>
      </c>
      <c r="AP258">
        <v>40</v>
      </c>
      <c r="AQ258">
        <v>41</v>
      </c>
      <c r="AR258">
        <v>42</v>
      </c>
      <c r="AS258" s="178">
        <v>43</v>
      </c>
    </row>
    <row r="259" spans="2:45" x14ac:dyDescent="0.25">
      <c r="C259" s="177">
        <v>10</v>
      </c>
      <c r="D259">
        <v>10</v>
      </c>
      <c r="E259">
        <v>10</v>
      </c>
      <c r="F259">
        <v>10</v>
      </c>
      <c r="G259">
        <v>10</v>
      </c>
      <c r="H259">
        <v>10</v>
      </c>
      <c r="I259">
        <v>10</v>
      </c>
      <c r="J259">
        <v>10</v>
      </c>
      <c r="K259">
        <v>10</v>
      </c>
      <c r="L259">
        <v>10</v>
      </c>
      <c r="M259">
        <v>10</v>
      </c>
      <c r="N259">
        <v>10</v>
      </c>
      <c r="O259">
        <v>9</v>
      </c>
      <c r="P259">
        <v>9</v>
      </c>
      <c r="Q259">
        <v>9</v>
      </c>
      <c r="R259">
        <v>8</v>
      </c>
      <c r="S259">
        <v>8</v>
      </c>
      <c r="T259">
        <v>8</v>
      </c>
      <c r="U259">
        <v>7</v>
      </c>
      <c r="V259">
        <v>7</v>
      </c>
      <c r="W259">
        <v>7</v>
      </c>
      <c r="X259">
        <v>6</v>
      </c>
      <c r="Y259">
        <v>6</v>
      </c>
      <c r="Z259">
        <v>6</v>
      </c>
      <c r="AA259">
        <v>5</v>
      </c>
      <c r="AB259">
        <v>5</v>
      </c>
      <c r="AC259">
        <v>5</v>
      </c>
      <c r="AD259">
        <v>4</v>
      </c>
      <c r="AE259">
        <v>4</v>
      </c>
      <c r="AF259">
        <v>4</v>
      </c>
      <c r="AG259">
        <v>3</v>
      </c>
      <c r="AH259">
        <v>3</v>
      </c>
      <c r="AI259">
        <v>3</v>
      </c>
      <c r="AJ259">
        <v>3</v>
      </c>
      <c r="AK259">
        <v>2</v>
      </c>
      <c r="AL259">
        <v>2</v>
      </c>
      <c r="AM259">
        <v>2</v>
      </c>
      <c r="AN259">
        <v>2</v>
      </c>
      <c r="AO259">
        <v>1</v>
      </c>
      <c r="AP259">
        <v>1</v>
      </c>
      <c r="AQ259">
        <v>1</v>
      </c>
      <c r="AR259">
        <v>1</v>
      </c>
      <c r="AS259" s="178">
        <v>0</v>
      </c>
    </row>
    <row r="260" spans="2:45" ht="15.75" thickBot="1" x14ac:dyDescent="0.3">
      <c r="C260" s="179" t="s">
        <v>244</v>
      </c>
      <c r="D260" s="180" t="e">
        <f>INDEX(C259:AS259,1,MATCH(D257,C258:AS258))</f>
        <v>#N/A</v>
      </c>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1"/>
    </row>
    <row r="265" spans="2:45" x14ac:dyDescent="0.25">
      <c r="L265" s="197"/>
    </row>
  </sheetData>
  <sheetProtection algorithmName="SHA-512" hashValue="mbV0H6C30wex8wYWxlbTJWj1HPNOgMG32QGAs9+uS6zaSlCz0L1WnmW/cZhZmw/gLz7E0xZ1GHFSY1tp5BqzHA==" saltValue="4fTEBemuf2jpH53pPv4+mw==" spinCount="100000" sheet="1" objects="1" scenarios="1"/>
  <dataValidations count="2">
    <dataValidation type="date" operator="greaterThanOrEqual" allowBlank="1" showInputMessage="1" showErrorMessage="1" errorTitle="Inconsistent dates" error="Expected commissioning date must be a date in format dd/mm/yy and cannot be before application date or the first year of project cashflows" sqref="C106" xr:uid="{12680580-41F6-4A4A-8D8F-A5F46A8F1AE4}">
      <formula1>MAX(DATE($B$8,1,1),$B$7)</formula1>
    </dataValidation>
    <dataValidation type="date" operator="greaterThan" allowBlank="1" showInputMessage="1" showErrorMessage="1" errorTitle="Incorrect date" error="The release date must be later than the date of the first release, 27/06/2023" sqref="C105" xr:uid="{8671D775-026F-44D9-8B86-204014E06C24}">
      <formula1>45104</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E78E-ABE7-406F-8E98-46459321759B}">
  <dimension ref="B1:F22"/>
  <sheetViews>
    <sheetView workbookViewId="0">
      <selection activeCell="C3" sqref="C3"/>
    </sheetView>
  </sheetViews>
  <sheetFormatPr defaultRowHeight="15" x14ac:dyDescent="0.25"/>
  <cols>
    <col min="2" max="2" width="53.28515625" bestFit="1" customWidth="1"/>
    <col min="3" max="6" width="23.42578125" customWidth="1"/>
  </cols>
  <sheetData>
    <row r="1" spans="2:6" ht="15.75" thickBot="1" x14ac:dyDescent="0.3"/>
    <row r="2" spans="2:6" ht="60.75" thickBot="1" x14ac:dyDescent="0.3">
      <c r="B2" s="256" t="s">
        <v>342</v>
      </c>
      <c r="C2" s="257" t="s">
        <v>283</v>
      </c>
      <c r="D2" s="257" t="s">
        <v>282</v>
      </c>
      <c r="E2" s="257" t="s">
        <v>284</v>
      </c>
      <c r="F2" s="258" t="s">
        <v>285</v>
      </c>
    </row>
    <row r="3" spans="2:6" x14ac:dyDescent="0.25">
      <c r="B3" s="87" t="s">
        <v>66</v>
      </c>
      <c r="C3" s="259" t="str">
        <f>IFERROR(-SUM(Emissions_Diff_TL:INDEX(Emissions_Diff_Ar,Life)),"Incomplete data")</f>
        <v>Incomplete data</v>
      </c>
      <c r="D3" s="259" t="str">
        <f>IFERROR(-SUM(Emissions_Diff_TL:INDEX(Emissions_Diff_Ar,Life)),"Incomplete data")</f>
        <v>Incomplete data</v>
      </c>
      <c r="E3" s="259" t="str">
        <f>IFERROR(-SUM(Emissions_Diff_TL:INDEX(Emissions_Diff_Ar,Life)),"Incomplete data")</f>
        <v>Incomplete data</v>
      </c>
      <c r="F3" s="260" t="str">
        <f>IFERROR(-SUM(Emissions_Diff_TL:INDEX(Emissions_Diff_Ar,Life)),"Incomplete data")</f>
        <v>Incomplete data</v>
      </c>
    </row>
    <row r="4" spans="2:6" x14ac:dyDescent="0.25">
      <c r="B4" s="88" t="s">
        <v>67</v>
      </c>
      <c r="C4" s="203" t="str">
        <f>IFERROR(-SUMPRODUCT(Emissions_Diff_TL:INDEX(Emissions_Diff_Ar,Life),DiscF_TL:INDEX(DiscF_Ar,Life)),"Incomplete data")</f>
        <v>Incomplete data</v>
      </c>
      <c r="D4" s="203" t="str">
        <f>IFERROR(-SUMPRODUCT(Emissions_Diff_TL:INDEX(Emissions_Diff_Ar,Life),DiscF_TL_2pc:INDEX(DiscF_Ar_2pc,Life)),"Incomplete data")</f>
        <v>Incomplete data</v>
      </c>
      <c r="E4" s="203" t="str">
        <f>IFERROR(-SUMPRODUCT(Emissions_Diff_TL:INDEX(Emissions_Diff_Ar,Life),DiscF_TL_hurdle:INDEX(Discf_Ar_Private_hurdle_rate,Life)),"Incomplete data")</f>
        <v>Incomplete data</v>
      </c>
      <c r="F4" s="204" t="str">
        <f>IFERROR(-SUMPRODUCT(Emissions_Diff_TL:INDEX(Emissions_Diff_Ar,Life),DiscF_TL_WACC:INDEX(DiscF_Ar_WACC,Life)),"Incomplete data")</f>
        <v>Incomplete data</v>
      </c>
    </row>
    <row r="5" spans="2:6" ht="15.75" thickBot="1" x14ac:dyDescent="0.3">
      <c r="B5" s="89" t="s">
        <v>68</v>
      </c>
      <c r="C5" s="261" t="str">
        <f>IFERROR(SUMPRODUCT(CashF_Real_excl_ETS_n_GIDI_TL:INDEX(CashF_Real_excl_ETS_n_GIDI_Ar,Life),DiscF_TL:INDEX(DiscF_Ar,Life)),"Incomplete data")</f>
        <v>Incomplete data</v>
      </c>
      <c r="D5" s="261" t="str">
        <f>IFERROR(SUMPRODUCT(CashF_Real_excl_ETS_n_GIDI_TL:INDEX(CashF_Real_excl_ETS_n_GIDI_Ar,Life),DiscF_TL_2pc:INDEX(DiscF_Ar_2pc,Life)),"Incomplete data")</f>
        <v>Incomplete data</v>
      </c>
      <c r="E5" s="261" t="str">
        <f>IFERROR(SUMPRODUCT(CashF_Real_excl_ETS_n_GIDI_TL:INDEX(CashF_Real_excl_ETS_n_GIDI_Ar,Life),DiscF_TL_hurdle:INDEX(Discf_Ar_Private_hurdle_rate,Life)),"Incomplete data")</f>
        <v>Incomplete data</v>
      </c>
      <c r="F5" s="262" t="str">
        <f>IFERROR(SUMPRODUCT(CashF_Real_excl_ETS_n_GIDI_TL:INDEX(CashF_Real_excl_ETS_n_GIDI_Ar,Life),DiscF_TL_WACC:INDEX(DiscF_Ar_WACC,Life)),"Incomplete data")</f>
        <v>Incomplete data</v>
      </c>
    </row>
    <row r="6" spans="2:6" x14ac:dyDescent="0.25">
      <c r="B6" s="88" t="s">
        <v>69</v>
      </c>
      <c r="C6" s="211" t="str">
        <f>IFERROR(C5/C4,"Incomplete data")</f>
        <v>Incomplete data</v>
      </c>
      <c r="D6" s="211" t="str">
        <f>IFERROR(D5/D4,"Incomplete data")</f>
        <v>Incomplete data</v>
      </c>
      <c r="E6" s="211" t="str">
        <f>IFERROR(E5/E4,"Incomplete data")</f>
        <v>Incomplete data</v>
      </c>
      <c r="F6" s="212" t="str">
        <f>IFERROR(F5/F4,"Incomplete data")</f>
        <v>Incomplete data</v>
      </c>
    </row>
    <row r="7" spans="2:6" x14ac:dyDescent="0.25">
      <c r="B7" s="205" t="s">
        <v>71</v>
      </c>
      <c r="C7" s="211" t="str">
        <f>IFERROR(GIDI_funding_PV/C4,"Incomplete data")</f>
        <v>Incomplete data</v>
      </c>
      <c r="D7" s="211" t="str">
        <f>IFERROR(GIDI_funding_PV/D4,"Incomplete data")</f>
        <v>Incomplete data</v>
      </c>
      <c r="E7" s="211" t="str">
        <f>IFERROR(GIDI_funding_PV/E4,"Incomplete data")</f>
        <v>Incomplete data</v>
      </c>
      <c r="F7" s="212" t="str">
        <f>IFERROR(GIDI_funding_PV/F4,"Incomplete data")</f>
        <v>Incomplete data</v>
      </c>
    </row>
    <row r="8" spans="2:6" x14ac:dyDescent="0.25">
      <c r="B8" s="88" t="s">
        <v>274</v>
      </c>
      <c r="C8" s="211" t="str">
        <f>IFERROR(C6-C7,"Incomplete data")</f>
        <v>Incomplete data</v>
      </c>
      <c r="D8" s="211" t="str">
        <f>IFERROR(D6-D7,"Incomplete data")</f>
        <v>Incomplete data</v>
      </c>
      <c r="E8" s="211" t="str">
        <f>IFERROR(E6-E7,"Incomplete data")</f>
        <v>Incomplete data</v>
      </c>
      <c r="F8" s="212" t="str">
        <f>IFERROR(F6-F7,"Incomplete data")</f>
        <v>Incomplete data</v>
      </c>
    </row>
    <row r="9" spans="2:6" ht="15.75" thickBot="1" x14ac:dyDescent="0.3">
      <c r="B9" s="89" t="s">
        <v>70</v>
      </c>
      <c r="C9" s="213" t="str">
        <f>IFERROR(-SUMPRODUCT(Real_Shadow_prices_in_project_year_TL:INDEX(Real_Shadow_prices_in_project_year_Ar,Life),Emissions_Diff_TL:INDEX(Emissions_Diff_Ar,Life),DiscF_TL:INDEX(DiscF_Ar,Life))/C4,"Incomplete data")</f>
        <v>Incomplete data</v>
      </c>
      <c r="D9" s="213" t="str">
        <f>IFERROR(-SUMPRODUCT(Real_Shadow_prices_in_project_year_TL_high:INDEX(Real_Shadow_prices_in_project_year_Ar_high,Life),Emissions_Diff_TL:INDEX(Emissions_Diff_Ar,Life),DiscF_TL_2pc:INDEX(DiscF_Ar_2pc,Life))/D4,"Incomplete data")</f>
        <v>Incomplete data</v>
      </c>
      <c r="E9" s="213" t="str">
        <f>IFERROR(-SUMPRODUCT(Real_ETS_prices_in_project_year_TL:INDEX(Real_ETS_prices_in_project_year_Ar,Life),Emissions_Diff_TL:INDEX(Emissions_Diff_Ar,Life),DiscF_TL_hurdle:INDEX(Discf_Ar_Private_hurdle_rate,Life))/E4,"Incomplete data")</f>
        <v>Incomplete data</v>
      </c>
      <c r="F9" s="214" t="str">
        <f>IFERROR(-SUMPRODUCT(Real_ETS_prices_in_project_year_TL:INDEX(Real_ETS_prices_in_project_year_Ar,Life),Emissions_Diff_TL:INDEX(Emissions_Diff_Ar,Life),DiscF_TL_WACC:INDEX(DiscF_Ar_WACC,Life))/F4,"Incomplete data")</f>
        <v>Incomplete data</v>
      </c>
    </row>
    <row r="10" spans="2:6" ht="15.75" thickBot="1" x14ac:dyDescent="0.3"/>
    <row r="11" spans="2:6" x14ac:dyDescent="0.25">
      <c r="B11" s="72" t="s">
        <v>343</v>
      </c>
      <c r="C11" s="239"/>
      <c r="D11" s="239"/>
      <c r="E11" s="239"/>
      <c r="F11" s="240"/>
    </row>
    <row r="12" spans="2:6" ht="15.75" thickBot="1" x14ac:dyDescent="0.3">
      <c r="B12" s="88" t="s">
        <v>331</v>
      </c>
      <c r="C12" s="243" t="e">
        <f>(C9-C6)*C4</f>
        <v>#VALUE!</v>
      </c>
      <c r="D12" s="243" t="e">
        <f>(D9-D6)*D4</f>
        <v>#VALUE!</v>
      </c>
      <c r="E12" s="42"/>
      <c r="F12" s="241"/>
    </row>
    <row r="13" spans="2:6" x14ac:dyDescent="0.25">
      <c r="B13" s="87" t="s">
        <v>332</v>
      </c>
      <c r="C13" s="249"/>
      <c r="D13" s="249"/>
      <c r="E13" s="250" t="e">
        <f>(E9-E6)*E4</f>
        <v>#VALUE!</v>
      </c>
      <c r="F13" s="251" t="e">
        <f>(F9-F6)*F4</f>
        <v>#VALUE!</v>
      </c>
    </row>
    <row r="14" spans="2:6" x14ac:dyDescent="0.25">
      <c r="B14" s="88" t="s">
        <v>341</v>
      </c>
      <c r="C14" s="42"/>
      <c r="D14" s="42"/>
      <c r="E14" s="243">
        <v>0</v>
      </c>
      <c r="F14" s="244">
        <v>0</v>
      </c>
    </row>
    <row r="15" spans="2:6" ht="15.75" thickBot="1" x14ac:dyDescent="0.3">
      <c r="B15" s="89" t="s">
        <v>333</v>
      </c>
      <c r="C15" s="242"/>
      <c r="D15" s="242"/>
      <c r="E15" s="245" t="e">
        <f>(E9-E8)*E4</f>
        <v>#VALUE!</v>
      </c>
      <c r="F15" s="246" t="e">
        <f>(F9-F8)*F4</f>
        <v>#VALUE!</v>
      </c>
    </row>
    <row r="16" spans="2:6" x14ac:dyDescent="0.25">
      <c r="B16" s="87" t="s">
        <v>334</v>
      </c>
      <c r="C16" s="252" t="str">
        <f>In_Out!B57</f>
        <v>Incomplete data</v>
      </c>
      <c r="D16" s="250"/>
      <c r="E16" s="249"/>
      <c r="F16" s="251"/>
    </row>
    <row r="17" spans="2:6" x14ac:dyDescent="0.25">
      <c r="B17" s="88" t="s">
        <v>338</v>
      </c>
      <c r="C17" s="247" t="str">
        <f>In_Out!B59</f>
        <v>na</v>
      </c>
      <c r="D17" s="243"/>
      <c r="E17" s="42"/>
      <c r="F17" s="244"/>
    </row>
    <row r="18" spans="2:6" ht="15.75" thickBot="1" x14ac:dyDescent="0.3">
      <c r="B18" s="89" t="s">
        <v>335</v>
      </c>
      <c r="C18" s="253" t="str">
        <f>In_Out!B58</f>
        <v>Incomplete data</v>
      </c>
      <c r="D18" s="245"/>
      <c r="E18" s="242"/>
      <c r="F18" s="246"/>
    </row>
    <row r="19" spans="2:6" x14ac:dyDescent="0.25">
      <c r="B19" s="87" t="s">
        <v>336</v>
      </c>
      <c r="C19" s="254" t="str">
        <f>In_Out!C57</f>
        <v>Incomplete data</v>
      </c>
      <c r="D19" s="250"/>
      <c r="E19" s="249"/>
      <c r="F19" s="251"/>
    </row>
    <row r="20" spans="2:6" x14ac:dyDescent="0.25">
      <c r="B20" s="88" t="s">
        <v>339</v>
      </c>
      <c r="C20" s="248" t="str">
        <f>In_Out!C59</f>
        <v>na</v>
      </c>
      <c r="D20" s="243"/>
      <c r="E20" s="42"/>
      <c r="F20" s="244"/>
    </row>
    <row r="21" spans="2:6" ht="15.75" thickBot="1" x14ac:dyDescent="0.3">
      <c r="B21" s="89" t="s">
        <v>337</v>
      </c>
      <c r="C21" s="255" t="str">
        <f>PayB_incl_ETS_n_GIDI</f>
        <v>Incomplete data</v>
      </c>
      <c r="D21" s="245"/>
      <c r="E21" s="242"/>
      <c r="F21" s="246"/>
    </row>
    <row r="22" spans="2:6" ht="15.75" thickBot="1" x14ac:dyDescent="0.3">
      <c r="B22" s="89" t="s">
        <v>340</v>
      </c>
      <c r="C22" s="245" t="str">
        <f>C7</f>
        <v>Incomplete data</v>
      </c>
      <c r="D22" s="245" t="str">
        <f>D7</f>
        <v>Incomplete data</v>
      </c>
      <c r="E22" s="245"/>
      <c r="F22" s="246"/>
    </row>
  </sheetData>
  <sheetProtection algorithmName="SHA-512" hashValue="cAwZVsV2IA5YSp68PE/XgRuywn+JTk5LkJi7DIAdUtNMMaHKcCQ8GR71G5ALvgmpF9/Y9Pa099QU9uGC7dRY0A==" saltValue="1hgrYhMXtyRzLHVJmxs0+w=="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1E5CDC78E2334AA18D64A98DF3C33F" ma:contentTypeVersion="13" ma:contentTypeDescription="Create a new document." ma:contentTypeScope="" ma:versionID="b65703a7c5bb85b4faa85004c6ccb812">
  <xsd:schema xmlns:xsd="http://www.w3.org/2001/XMLSchema" xmlns:xs="http://www.w3.org/2001/XMLSchema" xmlns:p="http://schemas.microsoft.com/office/2006/metadata/properties" xmlns:ns3="672de4af-c7e1-4dea-afce-8bfdd6ec2800" xmlns:ns4="d310727c-ac8f-4255-a422-4d21863ac790" targetNamespace="http://schemas.microsoft.com/office/2006/metadata/properties" ma:root="true" ma:fieldsID="a1b12c39cfdcb26a78a92bf60923bbe0" ns3:_="" ns4:_="">
    <xsd:import namespace="672de4af-c7e1-4dea-afce-8bfdd6ec2800"/>
    <xsd:import namespace="d310727c-ac8f-4255-a422-4d21863ac79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2de4af-c7e1-4dea-afce-8bfdd6ec280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0727c-ac8f-4255-a422-4d21863ac79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310727c-ac8f-4255-a422-4d21863ac790" xsi:nil="true"/>
  </documentManagement>
</p:properties>
</file>

<file path=customXml/itemProps1.xml><?xml version="1.0" encoding="utf-8"?>
<ds:datastoreItem xmlns:ds="http://schemas.openxmlformats.org/officeDocument/2006/customXml" ds:itemID="{C7A87901-8019-4716-A80D-171C019CBB61}">
  <ds:schemaRefs>
    <ds:schemaRef ds:uri="http://schemas.microsoft.com/sharepoint/v3/contenttype/forms"/>
  </ds:schemaRefs>
</ds:datastoreItem>
</file>

<file path=customXml/itemProps2.xml><?xml version="1.0" encoding="utf-8"?>
<ds:datastoreItem xmlns:ds="http://schemas.openxmlformats.org/officeDocument/2006/customXml" ds:itemID="{A2AD2F33-4334-4123-B95D-C105A4C81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2de4af-c7e1-4dea-afce-8bfdd6ec2800"/>
    <ds:schemaRef ds:uri="d310727c-ac8f-4255-a422-4d21863ac7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BAAD5-D6C9-4D3F-9E97-FF7D11A7DE0D}">
  <ds:schemaRefs>
    <ds:schemaRef ds:uri="http://schemas.microsoft.com/office/2006/metadata/properties"/>
    <ds:schemaRef ds:uri="d310727c-ac8f-4255-a422-4d21863ac7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72de4af-c7e1-4dea-afce-8bfdd6ec2800"/>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237</vt:i4>
      </vt:variant>
    </vt:vector>
  </HeadingPairs>
  <TitlesOfParts>
    <vt:vector size="243" baseType="lpstr">
      <vt:lpstr>Guidance</vt:lpstr>
      <vt:lpstr>In_Out</vt:lpstr>
      <vt:lpstr>Cashflow</vt:lpstr>
      <vt:lpstr>Scratch</vt:lpstr>
      <vt:lpstr>Data</vt:lpstr>
      <vt:lpstr>Waterfall</vt:lpstr>
      <vt:lpstr>Annual_abatement_EB2</vt:lpstr>
      <vt:lpstr>Annual_abatement_lifetime</vt:lpstr>
      <vt:lpstr>AssCr_CoFund_a</vt:lpstr>
      <vt:lpstr>AssCr_CoFund_b</vt:lpstr>
      <vt:lpstr>AssCr_GIDI_MAC_a</vt:lpstr>
      <vt:lpstr>AssCr_GIDI_MAC_b</vt:lpstr>
      <vt:lpstr>AssCr_PayB_a</vt:lpstr>
      <vt:lpstr>AssCr_PayB_b</vt:lpstr>
      <vt:lpstr>AssCr_PayB_c</vt:lpstr>
      <vt:lpstr>AssCr_PayB_d</vt:lpstr>
      <vt:lpstr>BP1_Flag_Ar</vt:lpstr>
      <vt:lpstr>BP1_Flag_TL</vt:lpstr>
      <vt:lpstr>BP2_Flag_Ar</vt:lpstr>
      <vt:lpstr>BP2_Flag_TL</vt:lpstr>
      <vt:lpstr>BP3_Flag_Ar</vt:lpstr>
      <vt:lpstr>BP3_Flag_TL</vt:lpstr>
      <vt:lpstr>BP4_Flag_Ar</vt:lpstr>
      <vt:lpstr>BP4_Flag_TL</vt:lpstr>
      <vt:lpstr>BP5_Flag_Ar</vt:lpstr>
      <vt:lpstr>BP5_Flag_TL</vt:lpstr>
      <vt:lpstr>BP6_Flag_Ar</vt:lpstr>
      <vt:lpstr>BP6_Flag_TL</vt:lpstr>
      <vt:lpstr>C_Price_Yr_Ar</vt:lpstr>
      <vt:lpstr>Capex_BC_Ar</vt:lpstr>
      <vt:lpstr>Capex_PP_Ar</vt:lpstr>
      <vt:lpstr>Capex_Type_BC_Ar</vt:lpstr>
      <vt:lpstr>Capex_Type_PP_Ar</vt:lpstr>
      <vt:lpstr>CashF_Nom_excl_ETS_incl_GIDI_Ar</vt:lpstr>
      <vt:lpstr>CashF_Nom_excl_ETS_n_GIDI_Ar</vt:lpstr>
      <vt:lpstr>CashF_Nom_incl_ETS_excl_GIDI_Ar</vt:lpstr>
      <vt:lpstr>CashF_Nom_incl_ETS_n_GIDI_Ar</vt:lpstr>
      <vt:lpstr>CashF_Real_excl_ETS_incl_GIDI_Ar</vt:lpstr>
      <vt:lpstr>CashF_Real_excl_ETS_n_GIDI_Ar</vt:lpstr>
      <vt:lpstr>CashF_Real_excl_ETS_n_GIDI_TL</vt:lpstr>
      <vt:lpstr>CashF_Real_incl_ETS_excl_GIDI_Ar</vt:lpstr>
      <vt:lpstr>CashF_Real_incl_ETS_n_GIDI_Ar</vt:lpstr>
      <vt:lpstr>CBAx_release_date</vt:lpstr>
      <vt:lpstr>Co_funding_pc</vt:lpstr>
      <vt:lpstr>Commission_date</vt:lpstr>
      <vt:lpstr>Disc_rate</vt:lpstr>
      <vt:lpstr>Disc_rate_low_social</vt:lpstr>
      <vt:lpstr>Disc_rate_private_hurdle_rate</vt:lpstr>
      <vt:lpstr>Disc_rate_private_WACC</vt:lpstr>
      <vt:lpstr>DiscF_Ar</vt:lpstr>
      <vt:lpstr>DiscF_Ar_2pc</vt:lpstr>
      <vt:lpstr>Discf_Ar_Private_hurdle_rate</vt:lpstr>
      <vt:lpstr>DiscF_Ar_WACC</vt:lpstr>
      <vt:lpstr>DiscF_TL</vt:lpstr>
      <vt:lpstr>DiscF_TL_2pc</vt:lpstr>
      <vt:lpstr>DiscF_TL_hurdle</vt:lpstr>
      <vt:lpstr>DiscF_TL_WACC</vt:lpstr>
      <vt:lpstr>EB1_Off</vt:lpstr>
      <vt:lpstr>EB2_Off</vt:lpstr>
      <vt:lpstr>EB3_Off</vt:lpstr>
      <vt:lpstr>EB4_Off</vt:lpstr>
      <vt:lpstr>EB5_Off</vt:lpstr>
      <vt:lpstr>EB6_Off</vt:lpstr>
      <vt:lpstr>EF_Ar</vt:lpstr>
      <vt:lpstr>EF_DefaultPrice_Ar</vt:lpstr>
      <vt:lpstr>EF_DefaultPrice_ConvertFrom_Ar</vt:lpstr>
      <vt:lpstr>EF_DefaultPrice_Factor_Ar</vt:lpstr>
      <vt:lpstr>EF_Diesel</vt:lpstr>
      <vt:lpstr>EF_Fuel_Ar</vt:lpstr>
      <vt:lpstr>EF_SI_Ar</vt:lpstr>
      <vt:lpstr>Emis_redn_discounted</vt:lpstr>
      <vt:lpstr>Emis_redn_discounted_EB2</vt:lpstr>
      <vt:lpstr>Emis_redn_undiscounted</vt:lpstr>
      <vt:lpstr>Emis_redn_undiscounted_EB2</vt:lpstr>
      <vt:lpstr>Emis_redn_within_EB1</vt:lpstr>
      <vt:lpstr>Emis_redn_within_EB2</vt:lpstr>
      <vt:lpstr>Emis_redn_within_EB3</vt:lpstr>
      <vt:lpstr>Emis_redn_within_EB4</vt:lpstr>
      <vt:lpstr>Emis_redn_within_EB5</vt:lpstr>
      <vt:lpstr>Emis_redn_within_EB6</vt:lpstr>
      <vt:lpstr>Emissions_BC_Ar</vt:lpstr>
      <vt:lpstr>Emissions_Diff_Ar</vt:lpstr>
      <vt:lpstr>Emissions_Diff_TL</vt:lpstr>
      <vt:lpstr>Emissions_PP_Ar</vt:lpstr>
      <vt:lpstr>Exempt_From_2037_Coal_Phaseout</vt:lpstr>
      <vt:lpstr>FAT_release</vt:lpstr>
      <vt:lpstr>FAT_release_date</vt:lpstr>
      <vt:lpstr>Forbidden_fuel_unit_Right_Ar</vt:lpstr>
      <vt:lpstr>Fuel_BC_Ar</vt:lpstr>
      <vt:lpstr>Fuel_EF_BC_Ar</vt:lpstr>
      <vt:lpstr>Fuel_EF_PP_Ar</vt:lpstr>
      <vt:lpstr>Fuel_List_Ar</vt:lpstr>
      <vt:lpstr>Fuel_Opex_BC_Ar</vt:lpstr>
      <vt:lpstr>Fuel_Opex_List_Ar</vt:lpstr>
      <vt:lpstr>Fuel_Opex_PP_Ar</vt:lpstr>
      <vt:lpstr>Fuel_Opex_Type_BC_Ar</vt:lpstr>
      <vt:lpstr>Fuel_Opex_Type_PP_Ar</vt:lpstr>
      <vt:lpstr>Fuel_Opex_Type2_BC_Ar</vt:lpstr>
      <vt:lpstr>Fuel_Opex_Type2_PP_Ar</vt:lpstr>
      <vt:lpstr>Fuel_P_BC1_Ar</vt:lpstr>
      <vt:lpstr>Fuel_P_BC2_Ar</vt:lpstr>
      <vt:lpstr>Fuel_P_BC3_Ar</vt:lpstr>
      <vt:lpstr>Fuel_P_BC4_Ar</vt:lpstr>
      <vt:lpstr>Fuel_P_PP1_Ar</vt:lpstr>
      <vt:lpstr>Fuel_P_PP2_Ar</vt:lpstr>
      <vt:lpstr>Fuel_P_PP3_Ar</vt:lpstr>
      <vt:lpstr>Fuel_P_PP4_Ar</vt:lpstr>
      <vt:lpstr>Fuel_P_Real_Default_BC1_Ar</vt:lpstr>
      <vt:lpstr>Fuel_P_Real_Default_BC2_Ar</vt:lpstr>
      <vt:lpstr>Fuel_P_Real_Default_BC3_Ar</vt:lpstr>
      <vt:lpstr>Fuel_P_Real_Default_BC4_Ar</vt:lpstr>
      <vt:lpstr>Fuel_P_Real_Default_PP1_Ar</vt:lpstr>
      <vt:lpstr>Fuel_P_Real_Default_PP2_Ar</vt:lpstr>
      <vt:lpstr>Fuel_P_Real_Default_PP3_Ar</vt:lpstr>
      <vt:lpstr>Fuel_P_Real_Default_PP4_Ar</vt:lpstr>
      <vt:lpstr>Fuel_PP_Ar</vt:lpstr>
      <vt:lpstr>Fuel_Type_BC_Ar</vt:lpstr>
      <vt:lpstr>Fuel_Type_PP_Ar</vt:lpstr>
      <vt:lpstr>Fuel_Units_BC_Ar</vt:lpstr>
      <vt:lpstr>Fuel_Units_PP_Ar</vt:lpstr>
      <vt:lpstr>FuelPrice_Implied_Ar</vt:lpstr>
      <vt:lpstr>FuelPrice_Implied_PPBC_Ar</vt:lpstr>
      <vt:lpstr>FuelPrice_Implied_Type_Ar</vt:lpstr>
      <vt:lpstr>FuelPrice_Implied_Unit_Ar</vt:lpstr>
      <vt:lpstr>FuelPrice_RealStd_Ar</vt:lpstr>
      <vt:lpstr>FuelPrice_RealStd_PPBC_Ar</vt:lpstr>
      <vt:lpstr>FuelPrice_RealStd_Type_Ar</vt:lpstr>
      <vt:lpstr>FuelPrice_RealStd_Unit_Ar</vt:lpstr>
      <vt:lpstr>GIDI</vt:lpstr>
      <vt:lpstr>GIDI_funding_Ar</vt:lpstr>
      <vt:lpstr>GIDI_funding_PV</vt:lpstr>
      <vt:lpstr>GJ_MWh</vt:lpstr>
      <vt:lpstr>Heat_Pump_Project</vt:lpstr>
      <vt:lpstr>High_Temp_Heat_Pump</vt:lpstr>
      <vt:lpstr>Inflation_Ar</vt:lpstr>
      <vt:lpstr>InflationFac_Ar</vt:lpstr>
      <vt:lpstr>IRR_Nom_excl_ETS_incl_GIDI</vt:lpstr>
      <vt:lpstr>IRR_Nom_excl_ETS_n_GIDI</vt:lpstr>
      <vt:lpstr>IRR_Nom_incl_ETS_excl_GIDI</vt:lpstr>
      <vt:lpstr>IRR_Nom_incl_ETS_n_GIDI</vt:lpstr>
      <vt:lpstr>IRR_Real_excl_ETS_incl_GIDI</vt:lpstr>
      <vt:lpstr>IRR_Real_excl_ETS_n_GIDI</vt:lpstr>
      <vt:lpstr>IRR_Real_incl_ETS_excl_GIDI</vt:lpstr>
      <vt:lpstr>IRR_Real_incl_ETS_n_GIDI</vt:lpstr>
      <vt:lpstr>Life</vt:lpstr>
      <vt:lpstr>Life_input</vt:lpstr>
      <vt:lpstr>MAC</vt:lpstr>
      <vt:lpstr>MAC_EB2</vt:lpstr>
      <vt:lpstr>MAC_ETS_thresh</vt:lpstr>
      <vt:lpstr>MAC_GIDI</vt:lpstr>
      <vt:lpstr>MAC_GIDI_EB2</vt:lpstr>
      <vt:lpstr>MAC_residual_applicant</vt:lpstr>
      <vt:lpstr>MAC_Shadow_thresh</vt:lpstr>
      <vt:lpstr>MAC_Shadow_Thresh_EB2</vt:lpstr>
      <vt:lpstr>Max_life</vt:lpstr>
      <vt:lpstr>Months_Submission_til_Commission</vt:lpstr>
      <vt:lpstr>MPS_release_date</vt:lpstr>
      <vt:lpstr>NF_Opex_BC_Ar</vt:lpstr>
      <vt:lpstr>NF_Opex_PP_Ar</vt:lpstr>
      <vt:lpstr>NF_Opex_Type_BC_Ar</vt:lpstr>
      <vt:lpstr>NF_Opex_Type_PP_Ar</vt:lpstr>
      <vt:lpstr>Nm_Applicant</vt:lpstr>
      <vt:lpstr>Nm_Project</vt:lpstr>
      <vt:lpstr>Num_Fuels</vt:lpstr>
      <vt:lpstr>Num_yrs_additional_EB2</vt:lpstr>
      <vt:lpstr>Num_yrs_additional_lifetime</vt:lpstr>
      <vt:lpstr>OK_Returns_Bottom_Ar</vt:lpstr>
      <vt:lpstr>OK_Returns_Capex_Ar</vt:lpstr>
      <vt:lpstr>OK_Returns_Result_Ar</vt:lpstr>
      <vt:lpstr>OK_Returns_Top_Ar</vt:lpstr>
      <vt:lpstr>PayB_incl_ETS_n_GIDI</vt:lpstr>
      <vt:lpstr>PayB_Nom_excl_ETS_incl_GIDI</vt:lpstr>
      <vt:lpstr>PayB_Nom_excl_ETS_n_GIDI</vt:lpstr>
      <vt:lpstr>PayB_Nom_incl_ETS_excl_GIDI</vt:lpstr>
      <vt:lpstr>PayB_Nom_incl_ETS_n_GIDI</vt:lpstr>
      <vt:lpstr>PayB_Real_excl_ETS_incl_GIDI</vt:lpstr>
      <vt:lpstr>PayB_Real_excl_ETS_n_GIDI</vt:lpstr>
      <vt:lpstr>PayB_Real_incl_ETS_excl_GIDI</vt:lpstr>
      <vt:lpstr>PayB_Real_incl_ETS_n_GIDI</vt:lpstr>
      <vt:lpstr>PleaseExplain1</vt:lpstr>
      <vt:lpstr>PleaseExplain2</vt:lpstr>
      <vt:lpstr>PleaseExplain3</vt:lpstr>
      <vt:lpstr>Project_involves_coal</vt:lpstr>
      <vt:lpstr>Project_Life_Flag_Ar</vt:lpstr>
      <vt:lpstr>Project_Life_Flag_TL</vt:lpstr>
      <vt:lpstr>Project_replaces_coal</vt:lpstr>
      <vt:lpstr>Project_Year_Offset</vt:lpstr>
      <vt:lpstr>Raw_Hurdle_Rate</vt:lpstr>
      <vt:lpstr>Real_ETS_prices_in_project_year_Ar</vt:lpstr>
      <vt:lpstr>Real_ETS_prices_in_project_year_TL</vt:lpstr>
      <vt:lpstr>Real_Nom</vt:lpstr>
      <vt:lpstr>Real_Shadow_prices_in_project_year_Ar</vt:lpstr>
      <vt:lpstr>Real_Shadow_prices_in_project_year_Ar_high</vt:lpstr>
      <vt:lpstr>Real_Shadow_prices_in_project_year_Ar_low</vt:lpstr>
      <vt:lpstr>Real_Shadow_prices_in_project_year_TL</vt:lpstr>
      <vt:lpstr>Real_Shadow_prices_in_project_year_TL_high</vt:lpstr>
      <vt:lpstr>Real_Shadow_prices_in_project_year_TL_low</vt:lpstr>
      <vt:lpstr>Real_Yr</vt:lpstr>
      <vt:lpstr>Region</vt:lpstr>
      <vt:lpstr>Regions_Ar</vt:lpstr>
      <vt:lpstr>Score_Abate</vt:lpstr>
      <vt:lpstr>Score_Abate_EB2</vt:lpstr>
      <vt:lpstr>Score_CoFund</vt:lpstr>
      <vt:lpstr>Score_PayB</vt:lpstr>
      <vt:lpstr>Score_Speed</vt:lpstr>
      <vt:lpstr>Sector</vt:lpstr>
      <vt:lpstr>Sectors_Ar</vt:lpstr>
      <vt:lpstr>Shadow_C_Ar</vt:lpstr>
      <vt:lpstr>Shadow_C_Ar_High</vt:lpstr>
      <vt:lpstr>Shadow_C_Ar_Low</vt:lpstr>
      <vt:lpstr>Shadow_Fac</vt:lpstr>
      <vt:lpstr>Shadow_off</vt:lpstr>
      <vt:lpstr>Shadow_p_yr</vt:lpstr>
      <vt:lpstr>Start_Yr</vt:lpstr>
      <vt:lpstr>Submission_date</vt:lpstr>
      <vt:lpstr>Thresh_IRR</vt:lpstr>
      <vt:lpstr>Thresh_Payback</vt:lpstr>
      <vt:lpstr>Threshold_payback_GIDI</vt:lpstr>
      <vt:lpstr>Time_period_Ar</vt:lpstr>
      <vt:lpstr>TooMuch_Thresh</vt:lpstr>
      <vt:lpstr>Tot_Capex</vt:lpstr>
      <vt:lpstr>Tot_Capex_BC_Ar</vt:lpstr>
      <vt:lpstr>Tot_Capex_Diff_Ar</vt:lpstr>
      <vt:lpstr>Tot_Capex_Diff_TL</vt:lpstr>
      <vt:lpstr>Tot_Capex_PP_Ar</vt:lpstr>
      <vt:lpstr>Tot_ETS_Opex_BC_Ar</vt:lpstr>
      <vt:lpstr>Tot_ETS_Opex_Diff_Ar</vt:lpstr>
      <vt:lpstr>Tot_ETS_Opex_PP_Ar</vt:lpstr>
      <vt:lpstr>Tot_Fuel_Opex_BC_Ar</vt:lpstr>
      <vt:lpstr>Tot_Fuel_Opex_Diff_Ar</vt:lpstr>
      <vt:lpstr>Tot_Fuel_Opex_PP_Ar</vt:lpstr>
      <vt:lpstr>Tot_NF_Opex_BC_Ar</vt:lpstr>
      <vt:lpstr>Tot_NF_Opex_Diff_Ar</vt:lpstr>
      <vt:lpstr>Tot_NF_Opex_PP_Ar</vt:lpstr>
      <vt:lpstr>Tot_Opex_BC_Ar</vt:lpstr>
      <vt:lpstr>Tot_Opex_Diff_Ar</vt:lpstr>
      <vt:lpstr>Tot_Opex_PP_Ar</vt:lpstr>
      <vt:lpstr>TotCost_Diff_PV</vt:lpstr>
      <vt:lpstr>TotCost_Diff_PV_EB2</vt:lpstr>
      <vt:lpstr>Transport_EF_Bio</vt:lpstr>
      <vt:lpstr>Transport_EF_Coal</vt:lpstr>
      <vt:lpstr>Unacceptable_message</vt:lpstr>
      <vt:lpstr>Year_Ar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CCG722</dc:creator>
  <cp:keywords/>
  <dc:description/>
  <cp:lastModifiedBy>Thomas Pappafloratos</cp:lastModifiedBy>
  <cp:revision/>
  <dcterms:created xsi:type="dcterms:W3CDTF">2022-05-11T02:56:00Z</dcterms:created>
  <dcterms:modified xsi:type="dcterms:W3CDTF">2023-09-20T01:36:50Z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0x010100E11E5CDC78E2334AA18D64A98DF3C33F</vt:lpwstr>
  </property>
  <property fmtid="{D5CDD505-2E9C-101B-9397-08002B2CF9AE}" pid="3" name="MediaServiceImageTags">
    <vt:lpwstr/>
  </property>
  <property fmtid="{D5CDD505-2E9C-101B-9397-08002B2CF9AE}" pid="4" name="C3Active">
    <vt:bool>true</vt:bool>
  </property>
  <property fmtid="{D5CDD505-2E9C-101B-9397-08002B2CF9AE}" pid="5" name="MarketingType">
    <vt:lpwstr>Event</vt:lpwstr>
  </property>
  <property fmtid="{D5CDD505-2E9C-101B-9397-08002B2CF9AE}" pid="6" name="TaxKeyword">
    <vt:lpwstr/>
  </property>
  <property fmtid="{D5CDD505-2E9C-101B-9397-08002B2CF9AE}" pid="7" name="C3FinancialYear">
    <vt:lpwstr/>
  </property>
  <property fmtid="{D5CDD505-2E9C-101B-9397-08002B2CF9AE}" pid="8" name="C3FinancialYearNote">
    <vt:lpwstr/>
  </property>
  <property fmtid="{D5CDD505-2E9C-101B-9397-08002B2CF9AE}" pid="9" name="C3Topic">
    <vt:lpwstr/>
  </property>
  <property fmtid="{D5CDD505-2E9C-101B-9397-08002B2CF9AE}" pid="10" name="C3TopicNote">
    <vt:lpwstr/>
  </property>
  <property fmtid="{D5CDD505-2E9C-101B-9397-08002B2CF9AE}" pid="11" name="SaveCode">
    <vt:r8>262577593326568</vt:r8>
  </property>
</Properties>
</file>